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ngela\Desktop\PS dokumendid\2023\AK 2023-2030\"/>
    </mc:Choice>
  </mc:AlternateContent>
  <xr:revisionPtr revIDLastSave="0" documentId="8_{199D903E-CF75-4EE0-8DF6-B6D0B4DE6B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9" i="1" l="1"/>
  <c r="J109" i="1"/>
  <c r="I109" i="1"/>
  <c r="H109" i="1"/>
  <c r="G109" i="1"/>
  <c r="F109" i="1"/>
  <c r="E109" i="1"/>
  <c r="D109" i="1"/>
  <c r="C109" i="1"/>
  <c r="K106" i="1"/>
  <c r="J106" i="1"/>
  <c r="I106" i="1"/>
  <c r="H106" i="1"/>
  <c r="G106" i="1"/>
  <c r="F106" i="1"/>
  <c r="E106" i="1"/>
  <c r="D106" i="1"/>
  <c r="C106" i="1"/>
  <c r="K103" i="1"/>
  <c r="J103" i="1"/>
  <c r="I103" i="1"/>
  <c r="H103" i="1"/>
  <c r="G103" i="1"/>
  <c r="F103" i="1"/>
  <c r="E103" i="1"/>
  <c r="D103" i="1"/>
  <c r="C103" i="1"/>
  <c r="K100" i="1"/>
  <c r="J100" i="1"/>
  <c r="I100" i="1"/>
  <c r="H100" i="1"/>
  <c r="G100" i="1"/>
  <c r="F100" i="1"/>
  <c r="E100" i="1"/>
  <c r="D100" i="1"/>
  <c r="C100" i="1"/>
  <c r="K97" i="1"/>
  <c r="J97" i="1"/>
  <c r="I97" i="1"/>
  <c r="H97" i="1"/>
  <c r="G97" i="1"/>
  <c r="F97" i="1"/>
  <c r="E97" i="1"/>
  <c r="D97" i="1"/>
  <c r="C97" i="1"/>
  <c r="K94" i="1"/>
  <c r="J94" i="1"/>
  <c r="I94" i="1"/>
  <c r="H94" i="1"/>
  <c r="G94" i="1"/>
  <c r="F94" i="1"/>
  <c r="E94" i="1"/>
  <c r="D94" i="1"/>
  <c r="C94" i="1"/>
  <c r="L89" i="1"/>
  <c r="K89" i="1"/>
  <c r="J89" i="1"/>
  <c r="I89" i="1"/>
  <c r="H89" i="1"/>
  <c r="G89" i="1"/>
  <c r="F89" i="1"/>
  <c r="E89" i="1"/>
  <c r="C89" i="1"/>
  <c r="F88" i="1"/>
  <c r="L85" i="1"/>
  <c r="K85" i="1"/>
  <c r="J85" i="1"/>
  <c r="I85" i="1"/>
  <c r="H85" i="1"/>
  <c r="G85" i="1"/>
  <c r="F85" i="1"/>
  <c r="E85" i="1"/>
  <c r="D85" i="1"/>
  <c r="C85" i="1"/>
  <c r="B85" i="1"/>
  <c r="H82" i="1"/>
  <c r="B82" i="1"/>
  <c r="L82" i="1"/>
  <c r="K82" i="1"/>
  <c r="J82" i="1"/>
  <c r="I82" i="1"/>
  <c r="G82" i="1"/>
  <c r="F82" i="1"/>
  <c r="E82" i="1"/>
  <c r="D82" i="1"/>
  <c r="C82" i="1"/>
  <c r="E79" i="1"/>
  <c r="B79" i="1"/>
  <c r="L79" i="1"/>
  <c r="K79" i="1"/>
  <c r="J79" i="1"/>
  <c r="I79" i="1"/>
  <c r="H79" i="1"/>
  <c r="G79" i="1"/>
  <c r="F79" i="1"/>
  <c r="D79" i="1"/>
  <c r="C79" i="1"/>
  <c r="C76" i="1"/>
  <c r="B76" i="1"/>
  <c r="L76" i="1"/>
  <c r="K76" i="1"/>
  <c r="J76" i="1"/>
  <c r="I76" i="1"/>
  <c r="H76" i="1"/>
  <c r="G76" i="1"/>
  <c r="F76" i="1"/>
  <c r="E76" i="1"/>
  <c r="D76" i="1"/>
  <c r="C73" i="1"/>
  <c r="L73" i="1"/>
  <c r="K73" i="1"/>
  <c r="J73" i="1"/>
  <c r="I73" i="1"/>
  <c r="H73" i="1"/>
  <c r="G73" i="1"/>
  <c r="F73" i="1"/>
  <c r="E73" i="1"/>
  <c r="B70" i="1"/>
  <c r="L70" i="1"/>
  <c r="K70" i="1"/>
  <c r="J70" i="1"/>
  <c r="I70" i="1"/>
  <c r="H70" i="1"/>
  <c r="G70" i="1"/>
  <c r="F70" i="1"/>
  <c r="E70" i="1"/>
  <c r="D70" i="1"/>
  <c r="C70" i="1"/>
  <c r="L90" i="1"/>
  <c r="J90" i="1"/>
  <c r="J88" i="1" s="1"/>
  <c r="H67" i="1"/>
  <c r="G67" i="1"/>
  <c r="F90" i="1"/>
  <c r="D90" i="1"/>
  <c r="J67" i="1"/>
  <c r="F67" i="1"/>
  <c r="D67" i="1"/>
  <c r="B67" i="1"/>
  <c r="L64" i="1"/>
  <c r="K64" i="1"/>
  <c r="J64" i="1"/>
  <c r="I64" i="1"/>
  <c r="H64" i="1"/>
  <c r="G64" i="1"/>
  <c r="F64" i="1"/>
  <c r="E64" i="1"/>
  <c r="D64" i="1"/>
  <c r="C64" i="1"/>
  <c r="L61" i="1"/>
  <c r="K61" i="1"/>
  <c r="J61" i="1"/>
  <c r="I61" i="1"/>
  <c r="H61" i="1"/>
  <c r="G61" i="1"/>
  <c r="F61" i="1"/>
  <c r="E61" i="1"/>
  <c r="D61" i="1"/>
  <c r="C61" i="1"/>
  <c r="L58" i="1"/>
  <c r="K58" i="1"/>
  <c r="J58" i="1"/>
  <c r="I58" i="1"/>
  <c r="H58" i="1"/>
  <c r="G58" i="1"/>
  <c r="F58" i="1"/>
  <c r="E58" i="1"/>
  <c r="D58" i="1"/>
  <c r="C58" i="1"/>
  <c r="L52" i="1"/>
  <c r="K38" i="1"/>
  <c r="J38" i="1"/>
  <c r="I38" i="1"/>
  <c r="H38" i="1"/>
  <c r="G38" i="1"/>
  <c r="F38" i="1"/>
  <c r="E38" i="1"/>
  <c r="D38" i="1"/>
  <c r="L36" i="1"/>
  <c r="L34" i="1" s="1"/>
  <c r="K36" i="1"/>
  <c r="J36" i="1"/>
  <c r="J34" i="1" s="1"/>
  <c r="B34" i="1"/>
  <c r="K34" i="1"/>
  <c r="I34" i="1"/>
  <c r="H34" i="1"/>
  <c r="G34" i="1"/>
  <c r="F34" i="1"/>
  <c r="E34" i="1"/>
  <c r="D34" i="1"/>
  <c r="C34" i="1"/>
  <c r="L32" i="1"/>
  <c r="K32" i="1"/>
  <c r="J32" i="1"/>
  <c r="L25" i="1"/>
  <c r="J25" i="1"/>
  <c r="I25" i="1"/>
  <c r="H25" i="1"/>
  <c r="F25" i="1"/>
  <c r="E25" i="1"/>
  <c r="J24" i="1"/>
  <c r="J52" i="1" s="1"/>
  <c r="F24" i="1"/>
  <c r="F52" i="1" s="1"/>
  <c r="D24" i="1"/>
  <c r="D52" i="1" s="1"/>
  <c r="J23" i="1"/>
  <c r="B24" i="1"/>
  <c r="B52" i="1" s="1"/>
  <c r="B21" i="1"/>
  <c r="L21" i="1"/>
  <c r="E17" i="1"/>
  <c r="D17" i="1"/>
  <c r="D15" i="1" s="1"/>
  <c r="D13" i="1" s="1"/>
  <c r="B15" i="1"/>
  <c r="B13" i="1" s="1"/>
  <c r="E16" i="1"/>
  <c r="E15" i="1"/>
  <c r="O14" i="1"/>
  <c r="E14" i="1"/>
  <c r="F14" i="1" s="1"/>
  <c r="E13" i="1"/>
  <c r="L9" i="1"/>
  <c r="L8" i="1" s="1"/>
  <c r="K9" i="1"/>
  <c r="K8" i="1" s="1"/>
  <c r="J9" i="1"/>
  <c r="I9" i="1"/>
  <c r="H9" i="1"/>
  <c r="H8" i="1" s="1"/>
  <c r="G9" i="1"/>
  <c r="F9" i="1"/>
  <c r="E9" i="1"/>
  <c r="C8" i="1"/>
  <c r="J8" i="1"/>
  <c r="I8" i="1"/>
  <c r="G8" i="1"/>
  <c r="F8" i="1"/>
  <c r="E8" i="1"/>
  <c r="D8" i="1"/>
  <c r="B8" i="1"/>
  <c r="N7" i="1"/>
  <c r="M7" i="1"/>
  <c r="E7" i="1"/>
  <c r="O7" i="1" s="1"/>
  <c r="E4" i="1"/>
  <c r="N4" i="1"/>
  <c r="D3" i="1"/>
  <c r="D2" i="1" s="1"/>
  <c r="B3" i="1"/>
  <c r="B2" i="1" s="1"/>
  <c r="B55" i="1" l="1"/>
  <c r="B20" i="1"/>
  <c r="N17" i="1"/>
  <c r="D54" i="1"/>
  <c r="D89" i="1"/>
  <c r="D73" i="1"/>
  <c r="G88" i="1"/>
  <c r="G25" i="1"/>
  <c r="K25" i="1"/>
  <c r="C3" i="1"/>
  <c r="C2" i="1" s="1"/>
  <c r="O4" i="1"/>
  <c r="E3" i="1"/>
  <c r="E2" i="1" s="1"/>
  <c r="F4" i="1"/>
  <c r="M4" i="1"/>
  <c r="F7" i="1"/>
  <c r="E54" i="1"/>
  <c r="N14" i="1"/>
  <c r="M14" i="1"/>
  <c r="O17" i="1"/>
  <c r="F17" i="1"/>
  <c r="J21" i="1"/>
  <c r="J91" i="1"/>
  <c r="D20" i="1"/>
  <c r="D55" i="1"/>
  <c r="G14" i="1"/>
  <c r="P14" i="1"/>
  <c r="M16" i="1"/>
  <c r="C15" i="1"/>
  <c r="C13" i="1" s="1"/>
  <c r="C54" i="1" s="1"/>
  <c r="N16" i="1"/>
  <c r="C67" i="1"/>
  <c r="C90" i="1"/>
  <c r="C24" i="1" s="1"/>
  <c r="C52" i="1" s="1"/>
  <c r="K90" i="1"/>
  <c r="K24" i="1" s="1"/>
  <c r="K52" i="1" s="1"/>
  <c r="K67" i="1"/>
  <c r="G90" i="1"/>
  <c r="G24" i="1" s="1"/>
  <c r="G52" i="1" s="1"/>
  <c r="O16" i="1"/>
  <c r="F16" i="1"/>
  <c r="N15" i="1"/>
  <c r="C21" i="1"/>
  <c r="C41" i="1"/>
  <c r="B45" i="1"/>
  <c r="B46" i="1" s="1"/>
  <c r="C42" i="1"/>
  <c r="H88" i="1"/>
  <c r="L88" i="1"/>
  <c r="H90" i="1"/>
  <c r="H24" i="1" s="1"/>
  <c r="H52" i="1" s="1"/>
  <c r="F23" i="1"/>
  <c r="L67" i="1"/>
  <c r="E67" i="1"/>
  <c r="E90" i="1"/>
  <c r="I67" i="1"/>
  <c r="I90" i="1"/>
  <c r="M17" i="1"/>
  <c r="B90" i="1"/>
  <c r="L91" i="1" l="1"/>
  <c r="G16" i="1"/>
  <c r="F15" i="1"/>
  <c r="F13" i="1" s="1"/>
  <c r="F54" i="1" s="1"/>
  <c r="P16" i="1"/>
  <c r="D47" i="1"/>
  <c r="H14" i="1"/>
  <c r="Q14" i="1"/>
  <c r="C53" i="1"/>
  <c r="C20" i="1"/>
  <c r="C55" i="1"/>
  <c r="G23" i="1"/>
  <c r="F21" i="1"/>
  <c r="F91" i="1"/>
  <c r="G4" i="1"/>
  <c r="F3" i="1"/>
  <c r="F2" i="1" s="1"/>
  <c r="P4" i="1"/>
  <c r="B47" i="1"/>
  <c r="B33" i="1"/>
  <c r="B51" i="1" s="1"/>
  <c r="P7" i="1"/>
  <c r="G7" i="1"/>
  <c r="I88" i="1"/>
  <c r="I24" i="1"/>
  <c r="I52" i="1" s="1"/>
  <c r="H23" i="1"/>
  <c r="C88" i="1"/>
  <c r="C91" i="1" s="1"/>
  <c r="D53" i="1"/>
  <c r="B91" i="1"/>
  <c r="B88" i="1"/>
  <c r="E24" i="1"/>
  <c r="E52" i="1" s="1"/>
  <c r="E88" i="1"/>
  <c r="C45" i="1"/>
  <c r="C46" i="1" s="1"/>
  <c r="D42" i="1"/>
  <c r="G17" i="1"/>
  <c r="P17" i="1"/>
  <c r="E20" i="1"/>
  <c r="E55" i="1"/>
  <c r="E53" i="1"/>
  <c r="K88" i="1"/>
  <c r="D88" i="1"/>
  <c r="D25" i="1"/>
  <c r="D23" i="1" l="1"/>
  <c r="M88" i="1"/>
  <c r="E47" i="1"/>
  <c r="H91" i="1"/>
  <c r="H21" i="1"/>
  <c r="C33" i="1"/>
  <c r="C51" i="1" s="1"/>
  <c r="C47" i="1"/>
  <c r="R14" i="1"/>
  <c r="I14" i="1"/>
  <c r="K23" i="1"/>
  <c r="F55" i="1"/>
  <c r="F53" i="1"/>
  <c r="F20" i="1"/>
  <c r="H17" i="1"/>
  <c r="Q17" i="1"/>
  <c r="G91" i="1"/>
  <c r="G21" i="1"/>
  <c r="D48" i="1"/>
  <c r="H7" i="1"/>
  <c r="Q7" i="1"/>
  <c r="E23" i="1"/>
  <c r="H16" i="1"/>
  <c r="Q16" i="1"/>
  <c r="G15" i="1"/>
  <c r="G13" i="1" s="1"/>
  <c r="G54" i="1" s="1"/>
  <c r="Q4" i="1"/>
  <c r="H4" i="1"/>
  <c r="G3" i="1"/>
  <c r="G2" i="1" s="1"/>
  <c r="E42" i="1"/>
  <c r="I23" i="1"/>
  <c r="B48" i="1"/>
  <c r="B49" i="1"/>
  <c r="I91" i="1" l="1"/>
  <c r="I21" i="1"/>
  <c r="R16" i="1"/>
  <c r="H15" i="1"/>
  <c r="H13" i="1" s="1"/>
  <c r="H54" i="1" s="1"/>
  <c r="I16" i="1"/>
  <c r="F42" i="1"/>
  <c r="D21" i="1"/>
  <c r="D33" i="1" s="1"/>
  <c r="D91" i="1"/>
  <c r="R4" i="1"/>
  <c r="H3" i="1"/>
  <c r="H2" i="1" s="1"/>
  <c r="I4" i="1"/>
  <c r="R7" i="1"/>
  <c r="I7" i="1"/>
  <c r="J14" i="1"/>
  <c r="S14" i="1"/>
  <c r="E48" i="1"/>
  <c r="E21" i="1"/>
  <c r="E33" i="1" s="1"/>
  <c r="E91" i="1"/>
  <c r="R17" i="1"/>
  <c r="I17" i="1"/>
  <c r="G53" i="1"/>
  <c r="G55" i="1"/>
  <c r="G20" i="1"/>
  <c r="F47" i="1"/>
  <c r="F33" i="1"/>
  <c r="K91" i="1"/>
  <c r="K21" i="1"/>
  <c r="C49" i="1"/>
  <c r="C48" i="1"/>
  <c r="E37" i="1" l="1"/>
  <c r="E51" i="1" s="1"/>
  <c r="S4" i="1"/>
  <c r="I3" i="1"/>
  <c r="I2" i="1" s="1"/>
  <c r="J4" i="1"/>
  <c r="G42" i="1"/>
  <c r="F51" i="1"/>
  <c r="F37" i="1"/>
  <c r="D37" i="1"/>
  <c r="D41" i="1" s="1"/>
  <c r="F48" i="1"/>
  <c r="S17" i="1"/>
  <c r="J17" i="1"/>
  <c r="T14" i="1"/>
  <c r="K14" i="1"/>
  <c r="H55" i="1"/>
  <c r="H53" i="1"/>
  <c r="H20" i="1"/>
  <c r="G47" i="1"/>
  <c r="G33" i="1"/>
  <c r="S7" i="1"/>
  <c r="J7" i="1"/>
  <c r="S16" i="1"/>
  <c r="I15" i="1"/>
  <c r="I13" i="1" s="1"/>
  <c r="I54" i="1" s="1"/>
  <c r="J16" i="1"/>
  <c r="K16" i="1" l="1"/>
  <c r="J15" i="1"/>
  <c r="J13" i="1" s="1"/>
  <c r="J54" i="1" s="1"/>
  <c r="T16" i="1"/>
  <c r="I20" i="1"/>
  <c r="I55" i="1"/>
  <c r="I53" i="1"/>
  <c r="G37" i="1"/>
  <c r="G51" i="1"/>
  <c r="K17" i="1"/>
  <c r="T17" i="1"/>
  <c r="E41" i="1"/>
  <c r="D45" i="1"/>
  <c r="H42" i="1"/>
  <c r="G48" i="1"/>
  <c r="L14" i="1"/>
  <c r="U14" i="1"/>
  <c r="D51" i="1"/>
  <c r="T7" i="1"/>
  <c r="K7" i="1"/>
  <c r="H33" i="1"/>
  <c r="H47" i="1"/>
  <c r="K4" i="1"/>
  <c r="J3" i="1"/>
  <c r="J2" i="1" s="1"/>
  <c r="T4" i="1"/>
  <c r="H48" i="1" l="1"/>
  <c r="F41" i="1"/>
  <c r="E45" i="1"/>
  <c r="D46" i="1"/>
  <c r="D49" i="1"/>
  <c r="I47" i="1"/>
  <c r="I33" i="1"/>
  <c r="H37" i="1"/>
  <c r="H51" i="1" s="1"/>
  <c r="J55" i="1"/>
  <c r="J53" i="1"/>
  <c r="J20" i="1"/>
  <c r="L7" i="1"/>
  <c r="U7" i="1"/>
  <c r="I42" i="1"/>
  <c r="K3" i="1"/>
  <c r="K2" i="1" s="1"/>
  <c r="U4" i="1"/>
  <c r="L4" i="1"/>
  <c r="L3" i="1" s="1"/>
  <c r="L2" i="1" s="1"/>
  <c r="L17" i="1"/>
  <c r="U17" i="1"/>
  <c r="L16" i="1"/>
  <c r="L15" i="1" s="1"/>
  <c r="L13" i="1" s="1"/>
  <c r="L54" i="1" s="1"/>
  <c r="K15" i="1"/>
  <c r="K13" i="1" s="1"/>
  <c r="K54" i="1" s="1"/>
  <c r="U16" i="1"/>
  <c r="I37" i="1" l="1"/>
  <c r="I51" i="1" s="1"/>
  <c r="I48" i="1"/>
  <c r="K53" i="1"/>
  <c r="K20" i="1"/>
  <c r="K55" i="1"/>
  <c r="L55" i="1"/>
  <c r="L53" i="1"/>
  <c r="L20" i="1"/>
  <c r="E46" i="1"/>
  <c r="E49" i="1"/>
  <c r="G41" i="1"/>
  <c r="F45" i="1"/>
  <c r="J42" i="1"/>
  <c r="J33" i="1"/>
  <c r="J47" i="1"/>
  <c r="K42" i="1" l="1"/>
  <c r="J48" i="1"/>
  <c r="F46" i="1"/>
  <c r="F49" i="1"/>
  <c r="L47" i="1"/>
  <c r="L33" i="1"/>
  <c r="K47" i="1"/>
  <c r="K33" i="1"/>
  <c r="J37" i="1"/>
  <c r="J51" i="1" s="1"/>
  <c r="H41" i="1"/>
  <c r="G45" i="1"/>
  <c r="L37" i="1" l="1"/>
  <c r="L51" i="1" s="1"/>
  <c r="L48" i="1"/>
  <c r="G46" i="1"/>
  <c r="G49" i="1"/>
  <c r="K37" i="1"/>
  <c r="K51" i="1" s="1"/>
  <c r="I41" i="1"/>
  <c r="H45" i="1"/>
  <c r="K48" i="1"/>
  <c r="L42" i="1"/>
  <c r="H46" i="1" l="1"/>
  <c r="H49" i="1"/>
  <c r="J41" i="1"/>
  <c r="I45" i="1"/>
  <c r="K41" i="1" l="1"/>
  <c r="J45" i="1"/>
  <c r="I46" i="1"/>
  <c r="I49" i="1"/>
  <c r="J46" i="1" l="1"/>
  <c r="J49" i="1"/>
  <c r="L41" i="1"/>
  <c r="L45" i="1" s="1"/>
  <c r="K45" i="1"/>
  <c r="K46" i="1" l="1"/>
  <c r="K49" i="1"/>
  <c r="L46" i="1"/>
  <c r="L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Sirje</author>
    <author>kersti.sannik</author>
  </authors>
  <commentList>
    <comment ref="D17" authorId="0" shapeId="0" xr:uid="{7E446760-7B61-49E3-AA9D-9C113F33860A}">
      <text>
        <r>
          <rPr>
            <b/>
            <sz val="9"/>
            <color indexed="81"/>
            <rFont val="Segoe UI"/>
            <family val="2"/>
            <charset val="186"/>
          </rPr>
          <t>Sirje:</t>
        </r>
        <r>
          <rPr>
            <sz val="9"/>
            <color indexed="81"/>
            <rFont val="Segoe UI"/>
            <family val="2"/>
            <charset val="186"/>
          </rPr>
          <t xml:space="preserve">
LE reservfondist 38000 Vastemõisa paisjärvele
</t>
        </r>
      </text>
    </comment>
    <comment ref="A44" authorId="1" shapeId="0" xr:uid="{3D88BF7E-D5EC-4EDD-8BD0-4CEE86AED58E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sildfinantseering</t>
        </r>
      </text>
    </comment>
    <comment ref="A47" authorId="1" shapeId="0" xr:uid="{EFA1B3BD-165F-49FA-9184-D11F8549EA97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see on individuaalne piirmäär, millest rohkem võlakohustusi võtta ei tohi</t>
        </r>
      </text>
    </comment>
    <comment ref="A48" authorId="1" shapeId="0" xr:uid="{680F7C0C-596B-4106-BB82-7F7076F8FA07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see on individuaalne piirmäär (%), millest rohkem võlakohustusi võtta ei tohi</t>
        </r>
      </text>
    </comment>
    <comment ref="A52" authorId="1" shapeId="0" xr:uid="{02257830-5705-4895-AA2D-633BAAF38479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laenu ei tohi rohkem võtta kui investeeringute omaosaluse katteks, osakute soetamiseks ja sihtfini ning laenu andmiseks</t>
        </r>
      </text>
    </comment>
    <comment ref="A93" authorId="1" shapeId="0" xr:uid="{22C9DDE3-0541-4758-8779-28B9B38C7D03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siin võivad olla ka art 4502 alt tehtavad investeeringud</t>
        </r>
      </text>
    </comment>
  </commentList>
</comments>
</file>

<file path=xl/sharedStrings.xml><?xml version="1.0" encoding="utf-8"?>
<sst xmlns="http://schemas.openxmlformats.org/spreadsheetml/2006/main" count="165" uniqueCount="116">
  <si>
    <t>Omavalitsuse nimi ning määruse nr ja kuupäev</t>
  </si>
  <si>
    <t>2021 täitmine</t>
  </si>
  <si>
    <t>2022  täitmine</t>
  </si>
  <si>
    <t xml:space="preserve">2023 eelarve  </t>
  </si>
  <si>
    <t xml:space="preserve">2024 eelarve  </t>
  </si>
  <si>
    <t xml:space="preserve">2025 eelarve  </t>
  </si>
  <si>
    <t xml:space="preserve">2026 eelarve  </t>
  </si>
  <si>
    <t xml:space="preserve">2027 eelarve  </t>
  </si>
  <si>
    <t xml:space="preserve">2028 eelarve  </t>
  </si>
  <si>
    <t xml:space="preserve">2029 eelarve  </t>
  </si>
  <si>
    <t xml:space="preserve">2030 eelarve  </t>
  </si>
  <si>
    <t xml:space="preserve">2031 eelarve, informatiivne  </t>
  </si>
  <si>
    <t>Selgitused</t>
  </si>
  <si>
    <t>Ridu juurde teha ei tohi, va alumisse investeeringute tabelisse!</t>
  </si>
  <si>
    <t xml:space="preserve">2021 ja 2022 täituvad automaatselt eelarvearuande lehelt!!! </t>
  </si>
  <si>
    <t>Põhitegevuse tulud kokku</t>
  </si>
  <si>
    <t>Valemeid ei tohi üle kirjutada!</t>
  </si>
  <si>
    <t xml:space="preserve">     Maksutulud</t>
  </si>
  <si>
    <t xml:space="preserve">          sh tulumaks</t>
  </si>
  <si>
    <t xml:space="preserve">          sh maamaks</t>
  </si>
  <si>
    <t xml:space="preserve">          sh muud maksutulud</t>
  </si>
  <si>
    <t xml:space="preserve">    Tulud kaupade ja teenuste müügist</t>
  </si>
  <si>
    <t xml:space="preserve">    Saadavad toetused tegevuskuludeks</t>
  </si>
  <si>
    <t xml:space="preserve">         sh  tasandusfond </t>
  </si>
  <si>
    <t xml:space="preserve">         sh  toetusfond</t>
  </si>
  <si>
    <t>siin kajastub alates 2015. a ka teederaha</t>
  </si>
  <si>
    <t xml:space="preserve">         sh muud saadud toetused tegevuskuludeks</t>
  </si>
  <si>
    <t>riigilt õppelaen, raamatud jt jooksvad toetused</t>
  </si>
  <si>
    <t xml:space="preserve">     Muud tegevustulud</t>
  </si>
  <si>
    <t xml:space="preserve">kaevandusõiguse tasu, vee erikasutus,saastetasud, trahvid </t>
  </si>
  <si>
    <t>Põhitegevuse kulud kokku</t>
  </si>
  <si>
    <t xml:space="preserve">     Antavad toetused tegevuskuludeks</t>
  </si>
  <si>
    <t xml:space="preserve">     Muud tegevuskulud</t>
  </si>
  <si>
    <t>PF tõus 24</t>
  </si>
  <si>
    <t xml:space="preserve">          sh personalikulud</t>
  </si>
  <si>
    <t xml:space="preserve">          sh majandamiskulud</t>
  </si>
  <si>
    <r>
      <t xml:space="preserve">          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sõlmitud katkestamatud kasutusrendimaksed </t>
    </r>
  </si>
  <si>
    <r>
      <t>Siin on aasta makse, real 42 kogusumma (</t>
    </r>
    <r>
      <rPr>
        <b/>
        <u/>
        <sz val="10"/>
        <rFont val="Arial"/>
        <family val="2"/>
        <charset val="186"/>
      </rPr>
      <t>konto 913110</t>
    </r>
    <r>
      <rPr>
        <b/>
        <sz val="10"/>
        <rFont val="Arial"/>
        <family val="2"/>
        <charset val="186"/>
      </rPr>
      <t>)</t>
    </r>
  </si>
  <si>
    <t xml:space="preserve">          sh muud kulud</t>
  </si>
  <si>
    <t>Siin on ka reservfond</t>
  </si>
  <si>
    <t>Põhitegevuse tulem</t>
  </si>
  <si>
    <t>EI TOHI OLLA NEGATIIVNE 2 A JÄRJEST. Kõigi aastate PT summa peab olema vähemalt 0.</t>
  </si>
  <si>
    <t>Investeerimistegevus kokku</t>
  </si>
  <si>
    <t xml:space="preserve">    Põhivara müük (+)</t>
  </si>
  <si>
    <t xml:space="preserve">    Põhivara soetus (-)</t>
  </si>
  <si>
    <t>TÄITUB ALUMISEST TABELIST, REALT millele viitab valem</t>
  </si>
  <si>
    <t xml:space="preserve">         sh projektide omaosalus</t>
  </si>
  <si>
    <t xml:space="preserve">   Põhivara soetuseks saadav sihtfinantseerimine (+)</t>
  </si>
  <si>
    <t>siin ka hajaasustuse veeprogramm, mis lisada valemile plussmärgiga ja alumises tabelis mitte näidata</t>
  </si>
  <si>
    <r>
      <rPr>
        <b/>
        <sz val="10"/>
        <rFont val="Arial"/>
        <family val="2"/>
        <charset val="186"/>
      </rPr>
      <t>Teederaha siin ei näita</t>
    </r>
    <r>
      <rPr>
        <sz val="10"/>
        <rFont val="Arial"/>
        <family val="2"/>
        <charset val="186"/>
      </rPr>
      <t xml:space="preserve">, see on real 10. </t>
    </r>
  </si>
  <si>
    <t xml:space="preserve">   Põhivara soetuseks antav sihtfinantseerimine (-)</t>
  </si>
  <si>
    <t>siin näidata hajaasustus koos antava omapoolse toetusega</t>
  </si>
  <si>
    <t xml:space="preserve">   Osaluste ning muude aktsiate ja osade müük (+)</t>
  </si>
  <si>
    <t xml:space="preserve">   Osaluste ning muude aktsiate ja osade soetus (-)</t>
  </si>
  <si>
    <t xml:space="preserve">   Tagasilaekuvad laenud (+)</t>
  </si>
  <si>
    <t xml:space="preserve">   Antavad laenud (-)</t>
  </si>
  <si>
    <t>sõltuvale üksusele investeeringuteks, sõltuv üksus näitab fin tehingutes</t>
  </si>
  <si>
    <t xml:space="preserve">   Finantstulud (+)</t>
  </si>
  <si>
    <t>intressid, dividendid</t>
  </si>
  <si>
    <t xml:space="preserve">   Finantskulud (-)</t>
  </si>
  <si>
    <t>Eelarve tulem</t>
  </si>
  <si>
    <t>Finantseerimistegevus</t>
  </si>
  <si>
    <t xml:space="preserve">   Kohustiste võtmine (+)</t>
  </si>
  <si>
    <t>laenu ei saa rohkem võtta kui investeeringuid teete, st rida24+26+28+30!!!</t>
  </si>
  <si>
    <t xml:space="preserve">   Kohustiste tasumine (-)</t>
  </si>
  <si>
    <t>Likviidsete varade muutus (+ suurenemine, - vähenemine)</t>
  </si>
  <si>
    <t>Ei saa rohkem suunata kui reale 41 eelmisel aastal jääb.</t>
  </si>
  <si>
    <t>Nõuete ja kohustiste saldode muutus kokku (+ /-)</t>
  </si>
  <si>
    <t>Lisatud 2 alarida</t>
  </si>
  <si>
    <t xml:space="preserve">   sh nõuete muutus (- suurenemine/ + vähenemine)</t>
  </si>
  <si>
    <t>nt eelmisel aastal saamata jäänud PK meetme raha</t>
  </si>
  <si>
    <t xml:space="preserve">   sh kohustiste muutus (+ suurenemine/ - vähenemine)</t>
  </si>
  <si>
    <t>kui saadi nt katuseraha, siis võtta ülesse kohustisena riigi ees plussiga, järgmisel aastal tuleb seda vähendada miinusega</t>
  </si>
  <si>
    <t>Likviidsete varade suunamata jääk aasta lõpuks</t>
  </si>
  <si>
    <t>Ei saa kunagi olla negatiivne!</t>
  </si>
  <si>
    <t>Võlakohustised kokku aasta lõpu seisuga</t>
  </si>
  <si>
    <t xml:space="preserve">    sh üle 1 a perioodiga mittekatkestatav kasutusrent (konto 913100), sihtfinantseerimise kohustised (konto 253550), saadud ettemaksed (kontogrupp 2038)</t>
  </si>
  <si>
    <t xml:space="preserve">    sh kohustised, mille võrra võib ületada netovõlakoormuse piirmäära</t>
  </si>
  <si>
    <r>
      <t>Netovõlakoormus (</t>
    </r>
    <r>
      <rPr>
        <b/>
        <u/>
        <sz val="10"/>
        <rFont val="Arial"/>
        <family val="2"/>
        <charset val="186"/>
      </rPr>
      <t>eurodes</t>
    </r>
    <r>
      <rPr>
        <b/>
        <sz val="10"/>
        <rFont val="Arial"/>
        <family val="2"/>
        <charset val="186"/>
      </rPr>
      <t>)</t>
    </r>
  </si>
  <si>
    <r>
      <t>Netovõlakoormus (</t>
    </r>
    <r>
      <rPr>
        <b/>
        <u/>
        <sz val="10"/>
        <rFont val="Arial"/>
        <family val="2"/>
        <charset val="186"/>
      </rPr>
      <t>%</t>
    </r>
    <r>
      <rPr>
        <b/>
        <sz val="10"/>
        <rFont val="Arial"/>
        <family val="2"/>
        <charset val="186"/>
      </rPr>
      <t>)</t>
    </r>
  </si>
  <si>
    <r>
      <t>Netovõlakoormuse ülemmäär (</t>
    </r>
    <r>
      <rPr>
        <b/>
        <u/>
        <sz val="10"/>
        <rFont val="Arial"/>
        <family val="2"/>
        <charset val="186"/>
      </rPr>
      <t>eurodes</t>
    </r>
    <r>
      <rPr>
        <b/>
        <sz val="10"/>
        <rFont val="Arial"/>
        <family val="2"/>
        <charset val="186"/>
      </rPr>
      <t>)</t>
    </r>
  </si>
  <si>
    <t>kuni 2024. lõpuni kas 10-kordne põhitegevuse tulem või 80% põhitegevuse tuludest, kumb on suurem, kuid mitte rohkem kui 100%. Edaspidi hakkab vähenema 5% võrra.</t>
  </si>
  <si>
    <r>
      <t>Netovõlakoormuse individuaalne ülemmäär (</t>
    </r>
    <r>
      <rPr>
        <b/>
        <u/>
        <sz val="10"/>
        <rFont val="Arial"/>
        <family val="2"/>
        <charset val="186"/>
      </rPr>
      <t>%</t>
    </r>
    <r>
      <rPr>
        <b/>
        <sz val="10"/>
        <rFont val="Arial"/>
        <family val="2"/>
        <charset val="186"/>
      </rPr>
      <t>)</t>
    </r>
  </si>
  <si>
    <t>Vaba netovõlakoormus (eurodes)</t>
  </si>
  <si>
    <t>E/a kontroll (tasakaal)</t>
  </si>
  <si>
    <t>peab olema 0</t>
  </si>
  <si>
    <t>Kohustiste võtmise kontroll</t>
  </si>
  <si>
    <t>peab üldjuhul olema OK. Erinevus võib tekkida nt refinantseerimisest.</t>
  </si>
  <si>
    <t>Põhitegevuse tulude muutus</t>
  </si>
  <si>
    <t>-</t>
  </si>
  <si>
    <t>Põhitegevuse kulude muutus</t>
  </si>
  <si>
    <t>Omafinantseerimise võimekuse näitaja</t>
  </si>
  <si>
    <t>Investeeringuobjektid* (alati "+" märgiga)</t>
  </si>
  <si>
    <t xml:space="preserve">2031 eelarve  </t>
  </si>
  <si>
    <t>kui lisate siia tabelisse ka antavad toetused investeeringuteks (art 4502), siis tuleks selleks jagada tabeli andmed käsitsi eelarvestrateegia ridade 23/24 ja 26 vahel.</t>
  </si>
  <si>
    <t>01 Üldised valitsussektori teenused</t>
  </si>
  <si>
    <t>Kuna kaotasime ära valdkonna vormi, siis on siin toodud investeeringud valdkondade kaupa</t>
  </si>
  <si>
    <t>sh toetuse arvelt</t>
  </si>
  <si>
    <t>sh muude vahendite arvelt (omaosalus)</t>
  </si>
  <si>
    <t>omavahendid + laen</t>
  </si>
  <si>
    <t>02 Riigikaitse</t>
  </si>
  <si>
    <t>03 Avalik kord ja julgeolek</t>
  </si>
  <si>
    <t>04 Majandus</t>
  </si>
  <si>
    <t>teederaha, mis tuleb toetusfondi kaudu, siin topelt näidata ei tohi. Kui teete nendest vahenditest investeeringuid, siis tuleb see summa tõsta omavahendite alla.</t>
  </si>
  <si>
    <t>05 Keskkonnakaitse</t>
  </si>
  <si>
    <t>06 Elamu- ja kommunaalmajandus</t>
  </si>
  <si>
    <t>07 Tervishoid</t>
  </si>
  <si>
    <t>08 Vabaaeg, kultuur ja religioon</t>
  </si>
  <si>
    <t>09 Haridus</t>
  </si>
  <si>
    <t>10 Sotsiaalne kaitse</t>
  </si>
  <si>
    <t>KÕIK KOKKU</t>
  </si>
  <si>
    <t>Põhivara soetuse kontroll</t>
  </si>
  <si>
    <t>kontroll strat tabeliga</t>
  </si>
  <si>
    <t>Suuremad investeeringud nimeliselt</t>
  </si>
  <si>
    <t>siin võib näidata ka art 4502 alt tehtavad investeeringud</t>
  </si>
  <si>
    <t>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</si>
</sst>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i/>
      <sz val="8"/>
      <name val="Arial"/>
      <family val="2"/>
      <charset val="186"/>
    </font>
    <font>
      <b/>
      <i/>
      <sz val="8"/>
      <name val="Arial"/>
      <family val="2"/>
      <charset val="186"/>
    </font>
    <font>
      <b/>
      <u/>
      <sz val="10"/>
      <name val="Arial"/>
      <family val="2"/>
      <charset val="186"/>
    </font>
    <font>
      <sz val="8"/>
      <color indexed="8"/>
      <name val="Arial"/>
      <family val="2"/>
      <charset val="186"/>
    </font>
    <font>
      <sz val="10"/>
      <name val="Times New Roman"/>
      <family val="1"/>
      <charset val="186"/>
    </font>
    <font>
      <sz val="10"/>
      <name val="Times New Roman"/>
      <family val="1"/>
    </font>
    <font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sz val="8"/>
      <name val="Arial"/>
      <family val="2"/>
    </font>
    <font>
      <sz val="10"/>
      <color theme="1"/>
      <name val="Arial1"/>
      <charset val="186"/>
    </font>
    <font>
      <b/>
      <sz val="10"/>
      <color rgb="FFFF0000"/>
      <name val="Arial"/>
      <family val="2"/>
      <charset val="186"/>
    </font>
    <font>
      <b/>
      <sz val="10"/>
      <color indexed="10"/>
      <name val="Arial"/>
      <family val="2"/>
      <charset val="186"/>
    </font>
    <font>
      <sz val="8"/>
      <color rgb="FFFF0000"/>
      <name val="Arial"/>
      <family val="2"/>
      <charset val="186"/>
    </font>
    <font>
      <b/>
      <i/>
      <sz val="10"/>
      <name val="Arial"/>
      <family val="2"/>
      <charset val="186"/>
    </font>
    <font>
      <b/>
      <sz val="9"/>
      <color indexed="81"/>
      <name val="Segoe UI"/>
      <family val="2"/>
      <charset val="186"/>
    </font>
    <font>
      <sz val="9"/>
      <color indexed="81"/>
      <name val="Segoe UI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3" fillId="0" borderId="0" xfId="0" applyFont="1" applyAlignment="1">
      <alignment wrapText="1"/>
    </xf>
    <xf numFmtId="0" fontId="2" fillId="3" borderId="0" xfId="0" applyFont="1" applyFill="1" applyAlignment="1">
      <alignment horizontal="center" wrapText="1"/>
    </xf>
    <xf numFmtId="0" fontId="2" fillId="0" borderId="3" xfId="0" applyFont="1" applyBorder="1" applyAlignment="1">
      <alignment horizontal="left"/>
    </xf>
    <xf numFmtId="3" fontId="1" fillId="4" borderId="4" xfId="0" applyNumberFormat="1" applyFont="1" applyFill="1" applyBorder="1" applyAlignment="1">
      <alignment horizontal="right" wrapText="1"/>
    </xf>
    <xf numFmtId="3" fontId="1" fillId="4" borderId="5" xfId="0" applyNumberFormat="1" applyFont="1" applyFill="1" applyBorder="1" applyAlignment="1">
      <alignment horizontal="right" wrapText="1"/>
    </xf>
    <xf numFmtId="0" fontId="4" fillId="0" borderId="0" xfId="0" applyFont="1"/>
    <xf numFmtId="0" fontId="5" fillId="0" borderId="6" xfId="0" applyFont="1" applyBorder="1" applyAlignment="1">
      <alignment horizontal="left"/>
    </xf>
    <xf numFmtId="3" fontId="6" fillId="4" borderId="7" xfId="0" applyNumberFormat="1" applyFont="1" applyFill="1" applyBorder="1" applyAlignment="1">
      <alignment wrapText="1"/>
    </xf>
    <xf numFmtId="3" fontId="6" fillId="4" borderId="8" xfId="0" applyNumberFormat="1" applyFont="1" applyFill="1" applyBorder="1" applyAlignment="1">
      <alignment wrapText="1"/>
    </xf>
    <xf numFmtId="3" fontId="7" fillId="5" borderId="9" xfId="0" applyNumberFormat="1" applyFont="1" applyFill="1" applyBorder="1" applyAlignment="1">
      <alignment wrapText="1"/>
    </xf>
    <xf numFmtId="3" fontId="7" fillId="0" borderId="7" xfId="0" applyNumberFormat="1" applyFont="1" applyBorder="1"/>
    <xf numFmtId="3" fontId="7" fillId="0" borderId="9" xfId="0" applyNumberFormat="1" applyFont="1" applyBorder="1"/>
    <xf numFmtId="10" fontId="0" fillId="0" borderId="0" xfId="0" applyNumberFormat="1"/>
    <xf numFmtId="3" fontId="6" fillId="5" borderId="9" xfId="0" applyNumberFormat="1" applyFont="1" applyFill="1" applyBorder="1" applyAlignment="1">
      <alignment wrapText="1"/>
    </xf>
    <xf numFmtId="3" fontId="6" fillId="4" borderId="9" xfId="0" applyNumberFormat="1" applyFont="1" applyFill="1" applyBorder="1" applyAlignment="1">
      <alignment wrapText="1"/>
    </xf>
    <xf numFmtId="0" fontId="7" fillId="0" borderId="0" xfId="0" applyFont="1"/>
    <xf numFmtId="0" fontId="2" fillId="0" borderId="6" xfId="0" applyFont="1" applyBorder="1" applyAlignment="1">
      <alignment horizontal="left"/>
    </xf>
    <xf numFmtId="3" fontId="1" fillId="4" borderId="9" xfId="0" applyNumberFormat="1" applyFont="1" applyFill="1" applyBorder="1" applyAlignment="1">
      <alignment wrapText="1"/>
    </xf>
    <xf numFmtId="3" fontId="1" fillId="4" borderId="7" xfId="0" applyNumberFormat="1" applyFont="1" applyFill="1" applyBorder="1" applyAlignment="1">
      <alignment wrapText="1"/>
    </xf>
    <xf numFmtId="3" fontId="6" fillId="7" borderId="9" xfId="0" applyNumberFormat="1" applyFont="1" applyFill="1" applyBorder="1" applyAlignment="1">
      <alignment wrapText="1"/>
    </xf>
    <xf numFmtId="3" fontId="6" fillId="7" borderId="7" xfId="0" applyNumberFormat="1" applyFont="1" applyFill="1" applyBorder="1" applyAlignment="1">
      <alignment wrapText="1"/>
    </xf>
    <xf numFmtId="0" fontId="0" fillId="6" borderId="0" xfId="0" applyFill="1"/>
    <xf numFmtId="3" fontId="0" fillId="6" borderId="0" xfId="0" applyNumberFormat="1" applyFill="1"/>
    <xf numFmtId="0" fontId="8" fillId="8" borderId="6" xfId="0" applyFont="1" applyFill="1" applyBorder="1" applyAlignment="1">
      <alignment horizontal="left"/>
    </xf>
    <xf numFmtId="3" fontId="6" fillId="8" borderId="9" xfId="0" applyNumberFormat="1" applyFont="1" applyFill="1" applyBorder="1" applyAlignment="1">
      <alignment wrapText="1"/>
    </xf>
    <xf numFmtId="3" fontId="7" fillId="8" borderId="7" xfId="0" applyNumberFormat="1" applyFont="1" applyFill="1" applyBorder="1"/>
    <xf numFmtId="3" fontId="7" fillId="8" borderId="9" xfId="0" applyNumberFormat="1" applyFont="1" applyFill="1" applyBorder="1"/>
    <xf numFmtId="0" fontId="2" fillId="8" borderId="0" xfId="0" applyFont="1" applyFill="1"/>
    <xf numFmtId="0" fontId="0" fillId="8" borderId="0" xfId="0" applyFill="1"/>
    <xf numFmtId="0" fontId="2" fillId="0" borderId="0" xfId="0" applyFont="1"/>
    <xf numFmtId="0" fontId="2" fillId="9" borderId="10" xfId="0" applyFont="1" applyFill="1" applyBorder="1" applyAlignment="1">
      <alignment horizontal="left"/>
    </xf>
    <xf numFmtId="3" fontId="2" fillId="4" borderId="9" xfId="0" applyNumberFormat="1" applyFont="1" applyFill="1" applyBorder="1" applyAlignment="1">
      <alignment wrapText="1"/>
    </xf>
    <xf numFmtId="3" fontId="2" fillId="4" borderId="7" xfId="0" applyNumberFormat="1" applyFont="1" applyFill="1" applyBorder="1" applyAlignment="1">
      <alignment wrapText="1"/>
    </xf>
    <xf numFmtId="0" fontId="2" fillId="6" borderId="0" xfId="0" applyFont="1" applyFill="1"/>
    <xf numFmtId="0" fontId="2" fillId="0" borderId="11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3" fontId="0" fillId="0" borderId="0" xfId="0" applyNumberFormat="1"/>
    <xf numFmtId="3" fontId="6" fillId="10" borderId="9" xfId="0" applyNumberFormat="1" applyFont="1" applyFill="1" applyBorder="1" applyAlignment="1">
      <alignment wrapText="1"/>
    </xf>
    <xf numFmtId="49" fontId="8" fillId="0" borderId="11" xfId="0" applyNumberFormat="1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3" fontId="7" fillId="10" borderId="7" xfId="0" applyNumberFormat="1" applyFont="1" applyFill="1" applyBorder="1"/>
    <xf numFmtId="9" fontId="7" fillId="0" borderId="0" xfId="0" applyNumberFormat="1" applyFont="1"/>
    <xf numFmtId="0" fontId="5" fillId="0" borderId="11" xfId="1" applyFont="1" applyBorder="1"/>
    <xf numFmtId="9" fontId="0" fillId="0" borderId="0" xfId="0" applyNumberFormat="1"/>
    <xf numFmtId="0" fontId="5" fillId="0" borderId="10" xfId="0" applyFont="1" applyBorder="1" applyAlignment="1">
      <alignment horizontal="left"/>
    </xf>
    <xf numFmtId="3" fontId="6" fillId="5" borderId="12" xfId="0" applyNumberFormat="1" applyFont="1" applyFill="1" applyBorder="1" applyAlignment="1">
      <alignment wrapText="1"/>
    </xf>
    <xf numFmtId="3" fontId="13" fillId="0" borderId="7" xfId="1" applyNumberFormat="1" applyFont="1" applyBorder="1"/>
    <xf numFmtId="0" fontId="5" fillId="0" borderId="13" xfId="0" applyFont="1" applyBorder="1" applyAlignment="1">
      <alignment horizontal="left" wrapText="1"/>
    </xf>
    <xf numFmtId="3" fontId="6" fillId="5" borderId="14" xfId="0" applyNumberFormat="1" applyFont="1" applyFill="1" applyBorder="1" applyAlignment="1">
      <alignment wrapText="1"/>
    </xf>
    <xf numFmtId="0" fontId="5" fillId="11" borderId="13" xfId="0" applyFont="1" applyFill="1" applyBorder="1" applyAlignment="1">
      <alignment horizontal="left" wrapText="1"/>
    </xf>
    <xf numFmtId="3" fontId="6" fillId="11" borderId="9" xfId="0" applyNumberFormat="1" applyFont="1" applyFill="1" applyBorder="1" applyAlignment="1">
      <alignment wrapText="1"/>
    </xf>
    <xf numFmtId="3" fontId="14" fillId="11" borderId="7" xfId="0" applyNumberFormat="1" applyFont="1" applyFill="1" applyBorder="1"/>
    <xf numFmtId="3" fontId="14" fillId="11" borderId="9" xfId="0" applyNumberFormat="1" applyFont="1" applyFill="1" applyBorder="1"/>
    <xf numFmtId="0" fontId="1" fillId="0" borderId="11" xfId="0" applyFont="1" applyBorder="1" applyAlignment="1">
      <alignment horizontal="left" wrapText="1"/>
    </xf>
    <xf numFmtId="0" fontId="16" fillId="0" borderId="11" xfId="0" applyFont="1" applyBorder="1"/>
    <xf numFmtId="0" fontId="16" fillId="11" borderId="11" xfId="0" applyFont="1" applyFill="1" applyBorder="1"/>
    <xf numFmtId="0" fontId="1" fillId="0" borderId="11" xfId="0" applyFont="1" applyBorder="1" applyAlignment="1">
      <alignment wrapText="1"/>
    </xf>
    <xf numFmtId="0" fontId="5" fillId="0" borderId="11" xfId="0" applyFont="1" applyBorder="1" applyAlignment="1">
      <alignment wrapText="1"/>
    </xf>
    <xf numFmtId="3" fontId="17" fillId="0" borderId="15" xfId="0" applyNumberFormat="1" applyFont="1" applyBorder="1"/>
    <xf numFmtId="3" fontId="17" fillId="0" borderId="16" xfId="0" applyNumberFormat="1" applyFont="1" applyBorder="1"/>
    <xf numFmtId="3" fontId="17" fillId="0" borderId="7" xfId="0" applyNumberFormat="1" applyFont="1" applyBorder="1"/>
    <xf numFmtId="0" fontId="5" fillId="0" borderId="10" xfId="0" applyFont="1" applyBorder="1"/>
    <xf numFmtId="3" fontId="7" fillId="5" borderId="9" xfId="0" applyNumberFormat="1" applyFont="1" applyFill="1" applyBorder="1"/>
    <xf numFmtId="0" fontId="7" fillId="3" borderId="0" xfId="0" applyFont="1" applyFill="1"/>
    <xf numFmtId="0" fontId="0" fillId="3" borderId="0" xfId="0" applyFill="1"/>
    <xf numFmtId="0" fontId="2" fillId="0" borderId="11" xfId="0" applyFont="1" applyBorder="1"/>
    <xf numFmtId="0" fontId="7" fillId="6" borderId="0" xfId="0" applyFont="1" applyFill="1"/>
    <xf numFmtId="3" fontId="7" fillId="10" borderId="17" xfId="0" applyNumberFormat="1" applyFont="1" applyFill="1" applyBorder="1" applyAlignment="1">
      <alignment horizontal="right"/>
    </xf>
    <xf numFmtId="3" fontId="7" fillId="10" borderId="9" xfId="0" applyNumberFormat="1" applyFont="1" applyFill="1" applyBorder="1"/>
    <xf numFmtId="0" fontId="5" fillId="0" borderId="18" xfId="0" applyFont="1" applyBorder="1" applyAlignment="1">
      <alignment wrapText="1"/>
    </xf>
    <xf numFmtId="3" fontId="7" fillId="5" borderId="19" xfId="0" applyNumberFormat="1" applyFont="1" applyFill="1" applyBorder="1" applyAlignment="1">
      <alignment horizontal="right"/>
    </xf>
    <xf numFmtId="0" fontId="2" fillId="0" borderId="11" xfId="0" applyFont="1" applyBorder="1" applyAlignment="1">
      <alignment wrapText="1"/>
    </xf>
    <xf numFmtId="164" fontId="16" fillId="4" borderId="9" xfId="0" applyNumberFormat="1" applyFont="1" applyFill="1" applyBorder="1" applyAlignment="1">
      <alignment wrapText="1"/>
    </xf>
    <xf numFmtId="164" fontId="16" fillId="4" borderId="7" xfId="0" applyNumberFormat="1" applyFont="1" applyFill="1" applyBorder="1" applyAlignment="1">
      <alignment wrapText="1"/>
    </xf>
    <xf numFmtId="0" fontId="6" fillId="0" borderId="10" xfId="0" applyFont="1" applyBorder="1" applyAlignment="1">
      <alignment wrapText="1"/>
    </xf>
    <xf numFmtId="10" fontId="6" fillId="0" borderId="9" xfId="0" applyNumberFormat="1" applyFont="1" applyBorder="1" applyAlignment="1">
      <alignment wrapText="1"/>
    </xf>
    <xf numFmtId="0" fontId="0" fillId="0" borderId="7" xfId="0" applyBorder="1"/>
    <xf numFmtId="0" fontId="0" fillId="0" borderId="9" xfId="0" applyBorder="1"/>
    <xf numFmtId="0" fontId="19" fillId="0" borderId="20" xfId="0" applyFont="1" applyBorder="1" applyAlignment="1">
      <alignment wrapText="1"/>
    </xf>
    <xf numFmtId="3" fontId="19" fillId="4" borderId="21" xfId="0" applyNumberFormat="1" applyFont="1" applyFill="1" applyBorder="1" applyAlignment="1">
      <alignment wrapText="1"/>
    </xf>
    <xf numFmtId="3" fontId="19" fillId="4" borderId="22" xfId="0" applyNumberFormat="1" applyFont="1" applyFill="1" applyBorder="1" applyAlignment="1">
      <alignment wrapText="1"/>
    </xf>
    <xf numFmtId="3" fontId="19" fillId="4" borderId="7" xfId="0" applyNumberFormat="1" applyFont="1" applyFill="1" applyBorder="1" applyAlignment="1">
      <alignment wrapText="1"/>
    </xf>
    <xf numFmtId="0" fontId="19" fillId="0" borderId="0" xfId="0" applyFont="1"/>
    <xf numFmtId="0" fontId="20" fillId="0" borderId="0" xfId="0" applyFont="1" applyAlignment="1">
      <alignment wrapText="1"/>
    </xf>
    <xf numFmtId="3" fontId="20" fillId="0" borderId="0" xfId="0" applyNumberFormat="1" applyFont="1" applyAlignment="1">
      <alignment horizontal="right" wrapText="1"/>
    </xf>
    <xf numFmtId="3" fontId="20" fillId="0" borderId="7" xfId="0" applyNumberFormat="1" applyFont="1" applyBorder="1" applyAlignment="1">
      <alignment horizontal="right" wrapText="1"/>
    </xf>
    <xf numFmtId="0" fontId="5" fillId="0" borderId="0" xfId="0" applyFont="1"/>
    <xf numFmtId="0" fontId="20" fillId="0" borderId="0" xfId="0" applyFont="1"/>
    <xf numFmtId="0" fontId="7" fillId="0" borderId="7" xfId="0" applyFont="1" applyBorder="1" applyAlignment="1">
      <alignment wrapText="1"/>
    </xf>
    <xf numFmtId="3" fontId="5" fillId="0" borderId="7" xfId="0" applyNumberFormat="1" applyFont="1" applyBorder="1" applyAlignment="1">
      <alignment horizontal="center" wrapText="1"/>
    </xf>
    <xf numFmtId="9" fontId="5" fillId="0" borderId="7" xfId="0" applyNumberFormat="1" applyFont="1" applyBorder="1" applyAlignment="1">
      <alignment wrapText="1"/>
    </xf>
    <xf numFmtId="9" fontId="5" fillId="0" borderId="9" xfId="0" applyNumberFormat="1" applyFont="1" applyBorder="1" applyAlignment="1">
      <alignment wrapText="1"/>
    </xf>
    <xf numFmtId="4" fontId="5" fillId="0" borderId="7" xfId="0" applyNumberFormat="1" applyFont="1" applyBorder="1" applyAlignment="1">
      <alignment wrapText="1"/>
    </xf>
    <xf numFmtId="4" fontId="5" fillId="0" borderId="9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2" fillId="0" borderId="11" xfId="2" applyFont="1" applyBorder="1"/>
    <xf numFmtId="3" fontId="2" fillId="5" borderId="7" xfId="0" applyNumberFormat="1" applyFont="1" applyFill="1" applyBorder="1"/>
    <xf numFmtId="3" fontId="2" fillId="5" borderId="8" xfId="0" applyNumberFormat="1" applyFont="1" applyFill="1" applyBorder="1"/>
    <xf numFmtId="0" fontId="8" fillId="0" borderId="11" xfId="0" applyFont="1" applyBorder="1" applyAlignment="1">
      <alignment wrapText="1"/>
    </xf>
    <xf numFmtId="3" fontId="7" fillId="0" borderId="8" xfId="0" applyNumberFormat="1" applyFont="1" applyBorder="1"/>
    <xf numFmtId="0" fontId="2" fillId="9" borderId="11" xfId="0" applyFont="1" applyFill="1" applyBorder="1" applyAlignment="1">
      <alignment wrapText="1"/>
    </xf>
    <xf numFmtId="3" fontId="2" fillId="9" borderId="7" xfId="0" applyNumberFormat="1" applyFont="1" applyFill="1" applyBorder="1"/>
    <xf numFmtId="3" fontId="2" fillId="9" borderId="8" xfId="0" applyNumberFormat="1" applyFont="1" applyFill="1" applyBorder="1"/>
    <xf numFmtId="3" fontId="7" fillId="0" borderId="0" xfId="0" applyNumberFormat="1" applyFont="1"/>
    <xf numFmtId="3" fontId="7" fillId="10" borderId="8" xfId="0" applyNumberFormat="1" applyFont="1" applyFill="1" applyBorder="1"/>
    <xf numFmtId="0" fontId="8" fillId="0" borderId="20" xfId="0" applyFont="1" applyBorder="1" applyAlignment="1">
      <alignment wrapText="1"/>
    </xf>
    <xf numFmtId="3" fontId="7" fillId="10" borderId="21" xfId="0" applyNumberFormat="1" applyFont="1" applyFill="1" applyBorder="1"/>
    <xf numFmtId="3" fontId="7" fillId="10" borderId="23" xfId="0" applyNumberFormat="1" applyFont="1" applyFill="1" applyBorder="1"/>
    <xf numFmtId="0" fontId="21" fillId="0" borderId="24" xfId="0" applyFont="1" applyBorder="1"/>
    <xf numFmtId="3" fontId="15" fillId="0" borderId="0" xfId="0" applyNumberFormat="1" applyFont="1"/>
    <xf numFmtId="3" fontId="14" fillId="0" borderId="0" xfId="0" applyNumberFormat="1" applyFont="1"/>
    <xf numFmtId="0" fontId="15" fillId="0" borderId="0" xfId="0" applyFont="1"/>
    <xf numFmtId="0" fontId="0" fillId="10" borderId="7" xfId="0" applyFill="1" applyBorder="1"/>
    <xf numFmtId="3" fontId="2" fillId="5" borderId="0" xfId="0" applyNumberFormat="1" applyFont="1" applyFill="1"/>
    <xf numFmtId="3" fontId="0" fillId="0" borderId="7" xfId="0" applyNumberFormat="1" applyBorder="1"/>
    <xf numFmtId="3" fontId="7" fillId="12" borderId="7" xfId="0" applyNumberFormat="1" applyFont="1" applyFill="1" applyBorder="1"/>
    <xf numFmtId="3" fontId="6" fillId="12" borderId="9" xfId="0" applyNumberFormat="1" applyFont="1" applyFill="1" applyBorder="1" applyAlignment="1">
      <alignment wrapText="1"/>
    </xf>
    <xf numFmtId="3" fontId="7" fillId="12" borderId="9" xfId="0" applyNumberFormat="1" applyFont="1" applyFill="1" applyBorder="1"/>
    <xf numFmtId="3" fontId="7" fillId="10" borderId="7" xfId="0" applyNumberFormat="1" applyFont="1" applyFill="1" applyBorder="1" applyAlignment="1">
      <alignment wrapText="1"/>
    </xf>
    <xf numFmtId="3" fontId="7" fillId="10" borderId="9" xfId="0" applyNumberFormat="1" applyFont="1" applyFill="1" applyBorder="1" applyAlignment="1">
      <alignment wrapText="1"/>
    </xf>
    <xf numFmtId="3" fontId="7" fillId="11" borderId="7" xfId="0" applyNumberFormat="1" applyFont="1" applyFill="1" applyBorder="1"/>
    <xf numFmtId="3" fontId="18" fillId="13" borderId="9" xfId="0" applyNumberFormat="1" applyFont="1" applyFill="1" applyBorder="1" applyAlignment="1">
      <alignment wrapText="1"/>
    </xf>
    <xf numFmtId="3" fontId="18" fillId="13" borderId="7" xfId="0" applyNumberFormat="1" applyFont="1" applyFill="1" applyBorder="1"/>
    <xf numFmtId="3" fontId="18" fillId="13" borderId="9" xfId="0" applyNumberFormat="1" applyFont="1" applyFill="1" applyBorder="1"/>
    <xf numFmtId="0" fontId="7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Normaallaad" xfId="0" builtinId="0"/>
    <cellStyle name="Normal_Sheet1" xfId="1" xr:uid="{CD72C119-A63B-4CD6-96A5-E5064D0A53BD}"/>
    <cellStyle name="Normal_Sheet1 2" xfId="2" xr:uid="{12D0AF06-B0CF-4A0E-AA36-00B74891CC29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9"/>
  <sheetViews>
    <sheetView tabSelected="1" topLeftCell="A36" zoomScale="110" zoomScaleNormal="110" workbookViewId="0">
      <selection activeCell="F42" sqref="F42"/>
    </sheetView>
  </sheetViews>
  <sheetFormatPr defaultRowHeight="15"/>
  <cols>
    <col min="1" max="1" width="47.28515625" customWidth="1"/>
    <col min="2" max="2" width="10.85546875" customWidth="1"/>
    <col min="3" max="3" width="10.140625" bestFit="1" customWidth="1"/>
    <col min="4" max="4" width="10.140625" customWidth="1"/>
    <col min="5" max="5" width="10.140625" bestFit="1" customWidth="1"/>
    <col min="6" max="11" width="10.140625" customWidth="1"/>
    <col min="12" max="12" width="10.7109375" customWidth="1"/>
    <col min="13" max="13" width="11.28515625" customWidth="1"/>
    <col min="14" max="14" width="17.42578125" customWidth="1"/>
    <col min="15" max="15" width="19.140625" customWidth="1"/>
    <col min="18" max="18" width="11.42578125" customWidth="1"/>
    <col min="21" max="21" width="10.5703125" customWidth="1"/>
    <col min="257" max="257" width="47.28515625" customWidth="1"/>
    <col min="258" max="258" width="10.85546875" customWidth="1"/>
    <col min="259" max="259" width="10.140625" bestFit="1" customWidth="1"/>
    <col min="260" max="260" width="10.140625" customWidth="1"/>
    <col min="261" max="261" width="10.140625" bestFit="1" customWidth="1"/>
    <col min="262" max="267" width="10.140625" customWidth="1"/>
    <col min="268" max="268" width="10.7109375" customWidth="1"/>
    <col min="269" max="269" width="11.28515625" customWidth="1"/>
    <col min="270" max="270" width="17.42578125" customWidth="1"/>
    <col min="271" max="271" width="19.140625" customWidth="1"/>
    <col min="274" max="274" width="11.42578125" customWidth="1"/>
    <col min="277" max="277" width="10.5703125" customWidth="1"/>
    <col min="513" max="513" width="47.28515625" customWidth="1"/>
    <col min="514" max="514" width="10.85546875" customWidth="1"/>
    <col min="515" max="515" width="10.140625" bestFit="1" customWidth="1"/>
    <col min="516" max="516" width="10.140625" customWidth="1"/>
    <col min="517" max="517" width="10.140625" bestFit="1" customWidth="1"/>
    <col min="518" max="523" width="10.140625" customWidth="1"/>
    <col min="524" max="524" width="10.7109375" customWidth="1"/>
    <col min="525" max="525" width="11.28515625" customWidth="1"/>
    <col min="526" max="526" width="17.42578125" customWidth="1"/>
    <col min="527" max="527" width="19.140625" customWidth="1"/>
    <col min="530" max="530" width="11.42578125" customWidth="1"/>
    <col min="533" max="533" width="10.5703125" customWidth="1"/>
    <col min="769" max="769" width="47.28515625" customWidth="1"/>
    <col min="770" max="770" width="10.85546875" customWidth="1"/>
    <col min="771" max="771" width="10.140625" bestFit="1" customWidth="1"/>
    <col min="772" max="772" width="10.140625" customWidth="1"/>
    <col min="773" max="773" width="10.140625" bestFit="1" customWidth="1"/>
    <col min="774" max="779" width="10.140625" customWidth="1"/>
    <col min="780" max="780" width="10.7109375" customWidth="1"/>
    <col min="781" max="781" width="11.28515625" customWidth="1"/>
    <col min="782" max="782" width="17.42578125" customWidth="1"/>
    <col min="783" max="783" width="19.140625" customWidth="1"/>
    <col min="786" max="786" width="11.42578125" customWidth="1"/>
    <col min="789" max="789" width="10.5703125" customWidth="1"/>
    <col min="1025" max="1025" width="47.28515625" customWidth="1"/>
    <col min="1026" max="1026" width="10.85546875" customWidth="1"/>
    <col min="1027" max="1027" width="10.140625" bestFit="1" customWidth="1"/>
    <col min="1028" max="1028" width="10.140625" customWidth="1"/>
    <col min="1029" max="1029" width="10.140625" bestFit="1" customWidth="1"/>
    <col min="1030" max="1035" width="10.140625" customWidth="1"/>
    <col min="1036" max="1036" width="10.7109375" customWidth="1"/>
    <col min="1037" max="1037" width="11.28515625" customWidth="1"/>
    <col min="1038" max="1038" width="17.42578125" customWidth="1"/>
    <col min="1039" max="1039" width="19.140625" customWidth="1"/>
    <col min="1042" max="1042" width="11.42578125" customWidth="1"/>
    <col min="1045" max="1045" width="10.5703125" customWidth="1"/>
    <col min="1281" max="1281" width="47.28515625" customWidth="1"/>
    <col min="1282" max="1282" width="10.85546875" customWidth="1"/>
    <col min="1283" max="1283" width="10.140625" bestFit="1" customWidth="1"/>
    <col min="1284" max="1284" width="10.140625" customWidth="1"/>
    <col min="1285" max="1285" width="10.140625" bestFit="1" customWidth="1"/>
    <col min="1286" max="1291" width="10.140625" customWidth="1"/>
    <col min="1292" max="1292" width="10.7109375" customWidth="1"/>
    <col min="1293" max="1293" width="11.28515625" customWidth="1"/>
    <col min="1294" max="1294" width="17.42578125" customWidth="1"/>
    <col min="1295" max="1295" width="19.140625" customWidth="1"/>
    <col min="1298" max="1298" width="11.42578125" customWidth="1"/>
    <col min="1301" max="1301" width="10.5703125" customWidth="1"/>
    <col min="1537" max="1537" width="47.28515625" customWidth="1"/>
    <col min="1538" max="1538" width="10.85546875" customWidth="1"/>
    <col min="1539" max="1539" width="10.140625" bestFit="1" customWidth="1"/>
    <col min="1540" max="1540" width="10.140625" customWidth="1"/>
    <col min="1541" max="1541" width="10.140625" bestFit="1" customWidth="1"/>
    <col min="1542" max="1547" width="10.140625" customWidth="1"/>
    <col min="1548" max="1548" width="10.7109375" customWidth="1"/>
    <col min="1549" max="1549" width="11.28515625" customWidth="1"/>
    <col min="1550" max="1550" width="17.42578125" customWidth="1"/>
    <col min="1551" max="1551" width="19.140625" customWidth="1"/>
    <col min="1554" max="1554" width="11.42578125" customWidth="1"/>
    <col min="1557" max="1557" width="10.5703125" customWidth="1"/>
    <col min="1793" max="1793" width="47.28515625" customWidth="1"/>
    <col min="1794" max="1794" width="10.85546875" customWidth="1"/>
    <col min="1795" max="1795" width="10.140625" bestFit="1" customWidth="1"/>
    <col min="1796" max="1796" width="10.140625" customWidth="1"/>
    <col min="1797" max="1797" width="10.140625" bestFit="1" customWidth="1"/>
    <col min="1798" max="1803" width="10.140625" customWidth="1"/>
    <col min="1804" max="1804" width="10.7109375" customWidth="1"/>
    <col min="1805" max="1805" width="11.28515625" customWidth="1"/>
    <col min="1806" max="1806" width="17.42578125" customWidth="1"/>
    <col min="1807" max="1807" width="19.140625" customWidth="1"/>
    <col min="1810" max="1810" width="11.42578125" customWidth="1"/>
    <col min="1813" max="1813" width="10.5703125" customWidth="1"/>
    <col min="2049" max="2049" width="47.28515625" customWidth="1"/>
    <col min="2050" max="2050" width="10.85546875" customWidth="1"/>
    <col min="2051" max="2051" width="10.140625" bestFit="1" customWidth="1"/>
    <col min="2052" max="2052" width="10.140625" customWidth="1"/>
    <col min="2053" max="2053" width="10.140625" bestFit="1" customWidth="1"/>
    <col min="2054" max="2059" width="10.140625" customWidth="1"/>
    <col min="2060" max="2060" width="10.7109375" customWidth="1"/>
    <col min="2061" max="2061" width="11.28515625" customWidth="1"/>
    <col min="2062" max="2062" width="17.42578125" customWidth="1"/>
    <col min="2063" max="2063" width="19.140625" customWidth="1"/>
    <col min="2066" max="2066" width="11.42578125" customWidth="1"/>
    <col min="2069" max="2069" width="10.5703125" customWidth="1"/>
    <col min="2305" max="2305" width="47.28515625" customWidth="1"/>
    <col min="2306" max="2306" width="10.85546875" customWidth="1"/>
    <col min="2307" max="2307" width="10.140625" bestFit="1" customWidth="1"/>
    <col min="2308" max="2308" width="10.140625" customWidth="1"/>
    <col min="2309" max="2309" width="10.140625" bestFit="1" customWidth="1"/>
    <col min="2310" max="2315" width="10.140625" customWidth="1"/>
    <col min="2316" max="2316" width="10.7109375" customWidth="1"/>
    <col min="2317" max="2317" width="11.28515625" customWidth="1"/>
    <col min="2318" max="2318" width="17.42578125" customWidth="1"/>
    <col min="2319" max="2319" width="19.140625" customWidth="1"/>
    <col min="2322" max="2322" width="11.42578125" customWidth="1"/>
    <col min="2325" max="2325" width="10.5703125" customWidth="1"/>
    <col min="2561" max="2561" width="47.28515625" customWidth="1"/>
    <col min="2562" max="2562" width="10.85546875" customWidth="1"/>
    <col min="2563" max="2563" width="10.140625" bestFit="1" customWidth="1"/>
    <col min="2564" max="2564" width="10.140625" customWidth="1"/>
    <col min="2565" max="2565" width="10.140625" bestFit="1" customWidth="1"/>
    <col min="2566" max="2571" width="10.140625" customWidth="1"/>
    <col min="2572" max="2572" width="10.7109375" customWidth="1"/>
    <col min="2573" max="2573" width="11.28515625" customWidth="1"/>
    <col min="2574" max="2574" width="17.42578125" customWidth="1"/>
    <col min="2575" max="2575" width="19.140625" customWidth="1"/>
    <col min="2578" max="2578" width="11.42578125" customWidth="1"/>
    <col min="2581" max="2581" width="10.5703125" customWidth="1"/>
    <col min="2817" max="2817" width="47.28515625" customWidth="1"/>
    <col min="2818" max="2818" width="10.85546875" customWidth="1"/>
    <col min="2819" max="2819" width="10.140625" bestFit="1" customWidth="1"/>
    <col min="2820" max="2820" width="10.140625" customWidth="1"/>
    <col min="2821" max="2821" width="10.140625" bestFit="1" customWidth="1"/>
    <col min="2822" max="2827" width="10.140625" customWidth="1"/>
    <col min="2828" max="2828" width="10.7109375" customWidth="1"/>
    <col min="2829" max="2829" width="11.28515625" customWidth="1"/>
    <col min="2830" max="2830" width="17.42578125" customWidth="1"/>
    <col min="2831" max="2831" width="19.140625" customWidth="1"/>
    <col min="2834" max="2834" width="11.42578125" customWidth="1"/>
    <col min="2837" max="2837" width="10.5703125" customWidth="1"/>
    <col min="3073" max="3073" width="47.28515625" customWidth="1"/>
    <col min="3074" max="3074" width="10.85546875" customWidth="1"/>
    <col min="3075" max="3075" width="10.140625" bestFit="1" customWidth="1"/>
    <col min="3076" max="3076" width="10.140625" customWidth="1"/>
    <col min="3077" max="3077" width="10.140625" bestFit="1" customWidth="1"/>
    <col min="3078" max="3083" width="10.140625" customWidth="1"/>
    <col min="3084" max="3084" width="10.7109375" customWidth="1"/>
    <col min="3085" max="3085" width="11.28515625" customWidth="1"/>
    <col min="3086" max="3086" width="17.42578125" customWidth="1"/>
    <col min="3087" max="3087" width="19.140625" customWidth="1"/>
    <col min="3090" max="3090" width="11.42578125" customWidth="1"/>
    <col min="3093" max="3093" width="10.5703125" customWidth="1"/>
    <col min="3329" max="3329" width="47.28515625" customWidth="1"/>
    <col min="3330" max="3330" width="10.85546875" customWidth="1"/>
    <col min="3331" max="3331" width="10.140625" bestFit="1" customWidth="1"/>
    <col min="3332" max="3332" width="10.140625" customWidth="1"/>
    <col min="3333" max="3333" width="10.140625" bestFit="1" customWidth="1"/>
    <col min="3334" max="3339" width="10.140625" customWidth="1"/>
    <col min="3340" max="3340" width="10.7109375" customWidth="1"/>
    <col min="3341" max="3341" width="11.28515625" customWidth="1"/>
    <col min="3342" max="3342" width="17.42578125" customWidth="1"/>
    <col min="3343" max="3343" width="19.140625" customWidth="1"/>
    <col min="3346" max="3346" width="11.42578125" customWidth="1"/>
    <col min="3349" max="3349" width="10.5703125" customWidth="1"/>
    <col min="3585" max="3585" width="47.28515625" customWidth="1"/>
    <col min="3586" max="3586" width="10.85546875" customWidth="1"/>
    <col min="3587" max="3587" width="10.140625" bestFit="1" customWidth="1"/>
    <col min="3588" max="3588" width="10.140625" customWidth="1"/>
    <col min="3589" max="3589" width="10.140625" bestFit="1" customWidth="1"/>
    <col min="3590" max="3595" width="10.140625" customWidth="1"/>
    <col min="3596" max="3596" width="10.7109375" customWidth="1"/>
    <col min="3597" max="3597" width="11.28515625" customWidth="1"/>
    <col min="3598" max="3598" width="17.42578125" customWidth="1"/>
    <col min="3599" max="3599" width="19.140625" customWidth="1"/>
    <col min="3602" max="3602" width="11.42578125" customWidth="1"/>
    <col min="3605" max="3605" width="10.5703125" customWidth="1"/>
    <col min="3841" max="3841" width="47.28515625" customWidth="1"/>
    <col min="3842" max="3842" width="10.85546875" customWidth="1"/>
    <col min="3843" max="3843" width="10.140625" bestFit="1" customWidth="1"/>
    <col min="3844" max="3844" width="10.140625" customWidth="1"/>
    <col min="3845" max="3845" width="10.140625" bestFit="1" customWidth="1"/>
    <col min="3846" max="3851" width="10.140625" customWidth="1"/>
    <col min="3852" max="3852" width="10.7109375" customWidth="1"/>
    <col min="3853" max="3853" width="11.28515625" customWidth="1"/>
    <col min="3854" max="3854" width="17.42578125" customWidth="1"/>
    <col min="3855" max="3855" width="19.140625" customWidth="1"/>
    <col min="3858" max="3858" width="11.42578125" customWidth="1"/>
    <col min="3861" max="3861" width="10.5703125" customWidth="1"/>
    <col min="4097" max="4097" width="47.28515625" customWidth="1"/>
    <col min="4098" max="4098" width="10.85546875" customWidth="1"/>
    <col min="4099" max="4099" width="10.140625" bestFit="1" customWidth="1"/>
    <col min="4100" max="4100" width="10.140625" customWidth="1"/>
    <col min="4101" max="4101" width="10.140625" bestFit="1" customWidth="1"/>
    <col min="4102" max="4107" width="10.140625" customWidth="1"/>
    <col min="4108" max="4108" width="10.7109375" customWidth="1"/>
    <col min="4109" max="4109" width="11.28515625" customWidth="1"/>
    <col min="4110" max="4110" width="17.42578125" customWidth="1"/>
    <col min="4111" max="4111" width="19.140625" customWidth="1"/>
    <col min="4114" max="4114" width="11.42578125" customWidth="1"/>
    <col min="4117" max="4117" width="10.5703125" customWidth="1"/>
    <col min="4353" max="4353" width="47.28515625" customWidth="1"/>
    <col min="4354" max="4354" width="10.85546875" customWidth="1"/>
    <col min="4355" max="4355" width="10.140625" bestFit="1" customWidth="1"/>
    <col min="4356" max="4356" width="10.140625" customWidth="1"/>
    <col min="4357" max="4357" width="10.140625" bestFit="1" customWidth="1"/>
    <col min="4358" max="4363" width="10.140625" customWidth="1"/>
    <col min="4364" max="4364" width="10.7109375" customWidth="1"/>
    <col min="4365" max="4365" width="11.28515625" customWidth="1"/>
    <col min="4366" max="4366" width="17.42578125" customWidth="1"/>
    <col min="4367" max="4367" width="19.140625" customWidth="1"/>
    <col min="4370" max="4370" width="11.42578125" customWidth="1"/>
    <col min="4373" max="4373" width="10.5703125" customWidth="1"/>
    <col min="4609" max="4609" width="47.28515625" customWidth="1"/>
    <col min="4610" max="4610" width="10.85546875" customWidth="1"/>
    <col min="4611" max="4611" width="10.140625" bestFit="1" customWidth="1"/>
    <col min="4612" max="4612" width="10.140625" customWidth="1"/>
    <col min="4613" max="4613" width="10.140625" bestFit="1" customWidth="1"/>
    <col min="4614" max="4619" width="10.140625" customWidth="1"/>
    <col min="4620" max="4620" width="10.7109375" customWidth="1"/>
    <col min="4621" max="4621" width="11.28515625" customWidth="1"/>
    <col min="4622" max="4622" width="17.42578125" customWidth="1"/>
    <col min="4623" max="4623" width="19.140625" customWidth="1"/>
    <col min="4626" max="4626" width="11.42578125" customWidth="1"/>
    <col min="4629" max="4629" width="10.5703125" customWidth="1"/>
    <col min="4865" max="4865" width="47.28515625" customWidth="1"/>
    <col min="4866" max="4866" width="10.85546875" customWidth="1"/>
    <col min="4867" max="4867" width="10.140625" bestFit="1" customWidth="1"/>
    <col min="4868" max="4868" width="10.140625" customWidth="1"/>
    <col min="4869" max="4869" width="10.140625" bestFit="1" customWidth="1"/>
    <col min="4870" max="4875" width="10.140625" customWidth="1"/>
    <col min="4876" max="4876" width="10.7109375" customWidth="1"/>
    <col min="4877" max="4877" width="11.28515625" customWidth="1"/>
    <col min="4878" max="4878" width="17.42578125" customWidth="1"/>
    <col min="4879" max="4879" width="19.140625" customWidth="1"/>
    <col min="4882" max="4882" width="11.42578125" customWidth="1"/>
    <col min="4885" max="4885" width="10.5703125" customWidth="1"/>
    <col min="5121" max="5121" width="47.28515625" customWidth="1"/>
    <col min="5122" max="5122" width="10.85546875" customWidth="1"/>
    <col min="5123" max="5123" width="10.140625" bestFit="1" customWidth="1"/>
    <col min="5124" max="5124" width="10.140625" customWidth="1"/>
    <col min="5125" max="5125" width="10.140625" bestFit="1" customWidth="1"/>
    <col min="5126" max="5131" width="10.140625" customWidth="1"/>
    <col min="5132" max="5132" width="10.7109375" customWidth="1"/>
    <col min="5133" max="5133" width="11.28515625" customWidth="1"/>
    <col min="5134" max="5134" width="17.42578125" customWidth="1"/>
    <col min="5135" max="5135" width="19.140625" customWidth="1"/>
    <col min="5138" max="5138" width="11.42578125" customWidth="1"/>
    <col min="5141" max="5141" width="10.5703125" customWidth="1"/>
    <col min="5377" max="5377" width="47.28515625" customWidth="1"/>
    <col min="5378" max="5378" width="10.85546875" customWidth="1"/>
    <col min="5379" max="5379" width="10.140625" bestFit="1" customWidth="1"/>
    <col min="5380" max="5380" width="10.140625" customWidth="1"/>
    <col min="5381" max="5381" width="10.140625" bestFit="1" customWidth="1"/>
    <col min="5382" max="5387" width="10.140625" customWidth="1"/>
    <col min="5388" max="5388" width="10.7109375" customWidth="1"/>
    <col min="5389" max="5389" width="11.28515625" customWidth="1"/>
    <col min="5390" max="5390" width="17.42578125" customWidth="1"/>
    <col min="5391" max="5391" width="19.140625" customWidth="1"/>
    <col min="5394" max="5394" width="11.42578125" customWidth="1"/>
    <col min="5397" max="5397" width="10.5703125" customWidth="1"/>
    <col min="5633" max="5633" width="47.28515625" customWidth="1"/>
    <col min="5634" max="5634" width="10.85546875" customWidth="1"/>
    <col min="5635" max="5635" width="10.140625" bestFit="1" customWidth="1"/>
    <col min="5636" max="5636" width="10.140625" customWidth="1"/>
    <col min="5637" max="5637" width="10.140625" bestFit="1" customWidth="1"/>
    <col min="5638" max="5643" width="10.140625" customWidth="1"/>
    <col min="5644" max="5644" width="10.7109375" customWidth="1"/>
    <col min="5645" max="5645" width="11.28515625" customWidth="1"/>
    <col min="5646" max="5646" width="17.42578125" customWidth="1"/>
    <col min="5647" max="5647" width="19.140625" customWidth="1"/>
    <col min="5650" max="5650" width="11.42578125" customWidth="1"/>
    <col min="5653" max="5653" width="10.5703125" customWidth="1"/>
    <col min="5889" max="5889" width="47.28515625" customWidth="1"/>
    <col min="5890" max="5890" width="10.85546875" customWidth="1"/>
    <col min="5891" max="5891" width="10.140625" bestFit="1" customWidth="1"/>
    <col min="5892" max="5892" width="10.140625" customWidth="1"/>
    <col min="5893" max="5893" width="10.140625" bestFit="1" customWidth="1"/>
    <col min="5894" max="5899" width="10.140625" customWidth="1"/>
    <col min="5900" max="5900" width="10.7109375" customWidth="1"/>
    <col min="5901" max="5901" width="11.28515625" customWidth="1"/>
    <col min="5902" max="5902" width="17.42578125" customWidth="1"/>
    <col min="5903" max="5903" width="19.140625" customWidth="1"/>
    <col min="5906" max="5906" width="11.42578125" customWidth="1"/>
    <col min="5909" max="5909" width="10.5703125" customWidth="1"/>
    <col min="6145" max="6145" width="47.28515625" customWidth="1"/>
    <col min="6146" max="6146" width="10.85546875" customWidth="1"/>
    <col min="6147" max="6147" width="10.140625" bestFit="1" customWidth="1"/>
    <col min="6148" max="6148" width="10.140625" customWidth="1"/>
    <col min="6149" max="6149" width="10.140625" bestFit="1" customWidth="1"/>
    <col min="6150" max="6155" width="10.140625" customWidth="1"/>
    <col min="6156" max="6156" width="10.7109375" customWidth="1"/>
    <col min="6157" max="6157" width="11.28515625" customWidth="1"/>
    <col min="6158" max="6158" width="17.42578125" customWidth="1"/>
    <col min="6159" max="6159" width="19.140625" customWidth="1"/>
    <col min="6162" max="6162" width="11.42578125" customWidth="1"/>
    <col min="6165" max="6165" width="10.5703125" customWidth="1"/>
    <col min="6401" max="6401" width="47.28515625" customWidth="1"/>
    <col min="6402" max="6402" width="10.85546875" customWidth="1"/>
    <col min="6403" max="6403" width="10.140625" bestFit="1" customWidth="1"/>
    <col min="6404" max="6404" width="10.140625" customWidth="1"/>
    <col min="6405" max="6405" width="10.140625" bestFit="1" customWidth="1"/>
    <col min="6406" max="6411" width="10.140625" customWidth="1"/>
    <col min="6412" max="6412" width="10.7109375" customWidth="1"/>
    <col min="6413" max="6413" width="11.28515625" customWidth="1"/>
    <col min="6414" max="6414" width="17.42578125" customWidth="1"/>
    <col min="6415" max="6415" width="19.140625" customWidth="1"/>
    <col min="6418" max="6418" width="11.42578125" customWidth="1"/>
    <col min="6421" max="6421" width="10.5703125" customWidth="1"/>
    <col min="6657" max="6657" width="47.28515625" customWidth="1"/>
    <col min="6658" max="6658" width="10.85546875" customWidth="1"/>
    <col min="6659" max="6659" width="10.140625" bestFit="1" customWidth="1"/>
    <col min="6660" max="6660" width="10.140625" customWidth="1"/>
    <col min="6661" max="6661" width="10.140625" bestFit="1" customWidth="1"/>
    <col min="6662" max="6667" width="10.140625" customWidth="1"/>
    <col min="6668" max="6668" width="10.7109375" customWidth="1"/>
    <col min="6669" max="6669" width="11.28515625" customWidth="1"/>
    <col min="6670" max="6670" width="17.42578125" customWidth="1"/>
    <col min="6671" max="6671" width="19.140625" customWidth="1"/>
    <col min="6674" max="6674" width="11.42578125" customWidth="1"/>
    <col min="6677" max="6677" width="10.5703125" customWidth="1"/>
    <col min="6913" max="6913" width="47.28515625" customWidth="1"/>
    <col min="6914" max="6914" width="10.85546875" customWidth="1"/>
    <col min="6915" max="6915" width="10.140625" bestFit="1" customWidth="1"/>
    <col min="6916" max="6916" width="10.140625" customWidth="1"/>
    <col min="6917" max="6917" width="10.140625" bestFit="1" customWidth="1"/>
    <col min="6918" max="6923" width="10.140625" customWidth="1"/>
    <col min="6924" max="6924" width="10.7109375" customWidth="1"/>
    <col min="6925" max="6925" width="11.28515625" customWidth="1"/>
    <col min="6926" max="6926" width="17.42578125" customWidth="1"/>
    <col min="6927" max="6927" width="19.140625" customWidth="1"/>
    <col min="6930" max="6930" width="11.42578125" customWidth="1"/>
    <col min="6933" max="6933" width="10.5703125" customWidth="1"/>
    <col min="7169" max="7169" width="47.28515625" customWidth="1"/>
    <col min="7170" max="7170" width="10.85546875" customWidth="1"/>
    <col min="7171" max="7171" width="10.140625" bestFit="1" customWidth="1"/>
    <col min="7172" max="7172" width="10.140625" customWidth="1"/>
    <col min="7173" max="7173" width="10.140625" bestFit="1" customWidth="1"/>
    <col min="7174" max="7179" width="10.140625" customWidth="1"/>
    <col min="7180" max="7180" width="10.7109375" customWidth="1"/>
    <col min="7181" max="7181" width="11.28515625" customWidth="1"/>
    <col min="7182" max="7182" width="17.42578125" customWidth="1"/>
    <col min="7183" max="7183" width="19.140625" customWidth="1"/>
    <col min="7186" max="7186" width="11.42578125" customWidth="1"/>
    <col min="7189" max="7189" width="10.5703125" customWidth="1"/>
    <col min="7425" max="7425" width="47.28515625" customWidth="1"/>
    <col min="7426" max="7426" width="10.85546875" customWidth="1"/>
    <col min="7427" max="7427" width="10.140625" bestFit="1" customWidth="1"/>
    <col min="7428" max="7428" width="10.140625" customWidth="1"/>
    <col min="7429" max="7429" width="10.140625" bestFit="1" customWidth="1"/>
    <col min="7430" max="7435" width="10.140625" customWidth="1"/>
    <col min="7436" max="7436" width="10.7109375" customWidth="1"/>
    <col min="7437" max="7437" width="11.28515625" customWidth="1"/>
    <col min="7438" max="7438" width="17.42578125" customWidth="1"/>
    <col min="7439" max="7439" width="19.140625" customWidth="1"/>
    <col min="7442" max="7442" width="11.42578125" customWidth="1"/>
    <col min="7445" max="7445" width="10.5703125" customWidth="1"/>
    <col min="7681" max="7681" width="47.28515625" customWidth="1"/>
    <col min="7682" max="7682" width="10.85546875" customWidth="1"/>
    <col min="7683" max="7683" width="10.140625" bestFit="1" customWidth="1"/>
    <col min="7684" max="7684" width="10.140625" customWidth="1"/>
    <col min="7685" max="7685" width="10.140625" bestFit="1" customWidth="1"/>
    <col min="7686" max="7691" width="10.140625" customWidth="1"/>
    <col min="7692" max="7692" width="10.7109375" customWidth="1"/>
    <col min="7693" max="7693" width="11.28515625" customWidth="1"/>
    <col min="7694" max="7694" width="17.42578125" customWidth="1"/>
    <col min="7695" max="7695" width="19.140625" customWidth="1"/>
    <col min="7698" max="7698" width="11.42578125" customWidth="1"/>
    <col min="7701" max="7701" width="10.5703125" customWidth="1"/>
    <col min="7937" max="7937" width="47.28515625" customWidth="1"/>
    <col min="7938" max="7938" width="10.85546875" customWidth="1"/>
    <col min="7939" max="7939" width="10.140625" bestFit="1" customWidth="1"/>
    <col min="7940" max="7940" width="10.140625" customWidth="1"/>
    <col min="7941" max="7941" width="10.140625" bestFit="1" customWidth="1"/>
    <col min="7942" max="7947" width="10.140625" customWidth="1"/>
    <col min="7948" max="7948" width="10.7109375" customWidth="1"/>
    <col min="7949" max="7949" width="11.28515625" customWidth="1"/>
    <col min="7950" max="7950" width="17.42578125" customWidth="1"/>
    <col min="7951" max="7951" width="19.140625" customWidth="1"/>
    <col min="7954" max="7954" width="11.42578125" customWidth="1"/>
    <col min="7957" max="7957" width="10.5703125" customWidth="1"/>
    <col min="8193" max="8193" width="47.28515625" customWidth="1"/>
    <col min="8194" max="8194" width="10.85546875" customWidth="1"/>
    <col min="8195" max="8195" width="10.140625" bestFit="1" customWidth="1"/>
    <col min="8196" max="8196" width="10.140625" customWidth="1"/>
    <col min="8197" max="8197" width="10.140625" bestFit="1" customWidth="1"/>
    <col min="8198" max="8203" width="10.140625" customWidth="1"/>
    <col min="8204" max="8204" width="10.7109375" customWidth="1"/>
    <col min="8205" max="8205" width="11.28515625" customWidth="1"/>
    <col min="8206" max="8206" width="17.42578125" customWidth="1"/>
    <col min="8207" max="8207" width="19.140625" customWidth="1"/>
    <col min="8210" max="8210" width="11.42578125" customWidth="1"/>
    <col min="8213" max="8213" width="10.5703125" customWidth="1"/>
    <col min="8449" max="8449" width="47.28515625" customWidth="1"/>
    <col min="8450" max="8450" width="10.85546875" customWidth="1"/>
    <col min="8451" max="8451" width="10.140625" bestFit="1" customWidth="1"/>
    <col min="8452" max="8452" width="10.140625" customWidth="1"/>
    <col min="8453" max="8453" width="10.140625" bestFit="1" customWidth="1"/>
    <col min="8454" max="8459" width="10.140625" customWidth="1"/>
    <col min="8460" max="8460" width="10.7109375" customWidth="1"/>
    <col min="8461" max="8461" width="11.28515625" customWidth="1"/>
    <col min="8462" max="8462" width="17.42578125" customWidth="1"/>
    <col min="8463" max="8463" width="19.140625" customWidth="1"/>
    <col min="8466" max="8466" width="11.42578125" customWidth="1"/>
    <col min="8469" max="8469" width="10.5703125" customWidth="1"/>
    <col min="8705" max="8705" width="47.28515625" customWidth="1"/>
    <col min="8706" max="8706" width="10.85546875" customWidth="1"/>
    <col min="8707" max="8707" width="10.140625" bestFit="1" customWidth="1"/>
    <col min="8708" max="8708" width="10.140625" customWidth="1"/>
    <col min="8709" max="8709" width="10.140625" bestFit="1" customWidth="1"/>
    <col min="8710" max="8715" width="10.140625" customWidth="1"/>
    <col min="8716" max="8716" width="10.7109375" customWidth="1"/>
    <col min="8717" max="8717" width="11.28515625" customWidth="1"/>
    <col min="8718" max="8718" width="17.42578125" customWidth="1"/>
    <col min="8719" max="8719" width="19.140625" customWidth="1"/>
    <col min="8722" max="8722" width="11.42578125" customWidth="1"/>
    <col min="8725" max="8725" width="10.5703125" customWidth="1"/>
    <col min="8961" max="8961" width="47.28515625" customWidth="1"/>
    <col min="8962" max="8962" width="10.85546875" customWidth="1"/>
    <col min="8963" max="8963" width="10.140625" bestFit="1" customWidth="1"/>
    <col min="8964" max="8964" width="10.140625" customWidth="1"/>
    <col min="8965" max="8965" width="10.140625" bestFit="1" customWidth="1"/>
    <col min="8966" max="8971" width="10.140625" customWidth="1"/>
    <col min="8972" max="8972" width="10.7109375" customWidth="1"/>
    <col min="8973" max="8973" width="11.28515625" customWidth="1"/>
    <col min="8974" max="8974" width="17.42578125" customWidth="1"/>
    <col min="8975" max="8975" width="19.140625" customWidth="1"/>
    <col min="8978" max="8978" width="11.42578125" customWidth="1"/>
    <col min="8981" max="8981" width="10.5703125" customWidth="1"/>
    <col min="9217" max="9217" width="47.28515625" customWidth="1"/>
    <col min="9218" max="9218" width="10.85546875" customWidth="1"/>
    <col min="9219" max="9219" width="10.140625" bestFit="1" customWidth="1"/>
    <col min="9220" max="9220" width="10.140625" customWidth="1"/>
    <col min="9221" max="9221" width="10.140625" bestFit="1" customWidth="1"/>
    <col min="9222" max="9227" width="10.140625" customWidth="1"/>
    <col min="9228" max="9228" width="10.7109375" customWidth="1"/>
    <col min="9229" max="9229" width="11.28515625" customWidth="1"/>
    <col min="9230" max="9230" width="17.42578125" customWidth="1"/>
    <col min="9231" max="9231" width="19.140625" customWidth="1"/>
    <col min="9234" max="9234" width="11.42578125" customWidth="1"/>
    <col min="9237" max="9237" width="10.5703125" customWidth="1"/>
    <col min="9473" max="9473" width="47.28515625" customWidth="1"/>
    <col min="9474" max="9474" width="10.85546875" customWidth="1"/>
    <col min="9475" max="9475" width="10.140625" bestFit="1" customWidth="1"/>
    <col min="9476" max="9476" width="10.140625" customWidth="1"/>
    <col min="9477" max="9477" width="10.140625" bestFit="1" customWidth="1"/>
    <col min="9478" max="9483" width="10.140625" customWidth="1"/>
    <col min="9484" max="9484" width="10.7109375" customWidth="1"/>
    <col min="9485" max="9485" width="11.28515625" customWidth="1"/>
    <col min="9486" max="9486" width="17.42578125" customWidth="1"/>
    <col min="9487" max="9487" width="19.140625" customWidth="1"/>
    <col min="9490" max="9490" width="11.42578125" customWidth="1"/>
    <col min="9493" max="9493" width="10.5703125" customWidth="1"/>
    <col min="9729" max="9729" width="47.28515625" customWidth="1"/>
    <col min="9730" max="9730" width="10.85546875" customWidth="1"/>
    <col min="9731" max="9731" width="10.140625" bestFit="1" customWidth="1"/>
    <col min="9732" max="9732" width="10.140625" customWidth="1"/>
    <col min="9733" max="9733" width="10.140625" bestFit="1" customWidth="1"/>
    <col min="9734" max="9739" width="10.140625" customWidth="1"/>
    <col min="9740" max="9740" width="10.7109375" customWidth="1"/>
    <col min="9741" max="9741" width="11.28515625" customWidth="1"/>
    <col min="9742" max="9742" width="17.42578125" customWidth="1"/>
    <col min="9743" max="9743" width="19.140625" customWidth="1"/>
    <col min="9746" max="9746" width="11.42578125" customWidth="1"/>
    <col min="9749" max="9749" width="10.5703125" customWidth="1"/>
    <col min="9985" max="9985" width="47.28515625" customWidth="1"/>
    <col min="9986" max="9986" width="10.85546875" customWidth="1"/>
    <col min="9987" max="9987" width="10.140625" bestFit="1" customWidth="1"/>
    <col min="9988" max="9988" width="10.140625" customWidth="1"/>
    <col min="9989" max="9989" width="10.140625" bestFit="1" customWidth="1"/>
    <col min="9990" max="9995" width="10.140625" customWidth="1"/>
    <col min="9996" max="9996" width="10.7109375" customWidth="1"/>
    <col min="9997" max="9997" width="11.28515625" customWidth="1"/>
    <col min="9998" max="9998" width="17.42578125" customWidth="1"/>
    <col min="9999" max="9999" width="19.140625" customWidth="1"/>
    <col min="10002" max="10002" width="11.42578125" customWidth="1"/>
    <col min="10005" max="10005" width="10.5703125" customWidth="1"/>
    <col min="10241" max="10241" width="47.28515625" customWidth="1"/>
    <col min="10242" max="10242" width="10.85546875" customWidth="1"/>
    <col min="10243" max="10243" width="10.140625" bestFit="1" customWidth="1"/>
    <col min="10244" max="10244" width="10.140625" customWidth="1"/>
    <col min="10245" max="10245" width="10.140625" bestFit="1" customWidth="1"/>
    <col min="10246" max="10251" width="10.140625" customWidth="1"/>
    <col min="10252" max="10252" width="10.7109375" customWidth="1"/>
    <col min="10253" max="10253" width="11.28515625" customWidth="1"/>
    <col min="10254" max="10254" width="17.42578125" customWidth="1"/>
    <col min="10255" max="10255" width="19.140625" customWidth="1"/>
    <col min="10258" max="10258" width="11.42578125" customWidth="1"/>
    <col min="10261" max="10261" width="10.5703125" customWidth="1"/>
    <col min="10497" max="10497" width="47.28515625" customWidth="1"/>
    <col min="10498" max="10498" width="10.85546875" customWidth="1"/>
    <col min="10499" max="10499" width="10.140625" bestFit="1" customWidth="1"/>
    <col min="10500" max="10500" width="10.140625" customWidth="1"/>
    <col min="10501" max="10501" width="10.140625" bestFit="1" customWidth="1"/>
    <col min="10502" max="10507" width="10.140625" customWidth="1"/>
    <col min="10508" max="10508" width="10.7109375" customWidth="1"/>
    <col min="10509" max="10509" width="11.28515625" customWidth="1"/>
    <col min="10510" max="10510" width="17.42578125" customWidth="1"/>
    <col min="10511" max="10511" width="19.140625" customWidth="1"/>
    <col min="10514" max="10514" width="11.42578125" customWidth="1"/>
    <col min="10517" max="10517" width="10.5703125" customWidth="1"/>
    <col min="10753" max="10753" width="47.28515625" customWidth="1"/>
    <col min="10754" max="10754" width="10.85546875" customWidth="1"/>
    <col min="10755" max="10755" width="10.140625" bestFit="1" customWidth="1"/>
    <col min="10756" max="10756" width="10.140625" customWidth="1"/>
    <col min="10757" max="10757" width="10.140625" bestFit="1" customWidth="1"/>
    <col min="10758" max="10763" width="10.140625" customWidth="1"/>
    <col min="10764" max="10764" width="10.7109375" customWidth="1"/>
    <col min="10765" max="10765" width="11.28515625" customWidth="1"/>
    <col min="10766" max="10766" width="17.42578125" customWidth="1"/>
    <col min="10767" max="10767" width="19.140625" customWidth="1"/>
    <col min="10770" max="10770" width="11.42578125" customWidth="1"/>
    <col min="10773" max="10773" width="10.5703125" customWidth="1"/>
    <col min="11009" max="11009" width="47.28515625" customWidth="1"/>
    <col min="11010" max="11010" width="10.85546875" customWidth="1"/>
    <col min="11011" max="11011" width="10.140625" bestFit="1" customWidth="1"/>
    <col min="11012" max="11012" width="10.140625" customWidth="1"/>
    <col min="11013" max="11013" width="10.140625" bestFit="1" customWidth="1"/>
    <col min="11014" max="11019" width="10.140625" customWidth="1"/>
    <col min="11020" max="11020" width="10.7109375" customWidth="1"/>
    <col min="11021" max="11021" width="11.28515625" customWidth="1"/>
    <col min="11022" max="11022" width="17.42578125" customWidth="1"/>
    <col min="11023" max="11023" width="19.140625" customWidth="1"/>
    <col min="11026" max="11026" width="11.42578125" customWidth="1"/>
    <col min="11029" max="11029" width="10.5703125" customWidth="1"/>
    <col min="11265" max="11265" width="47.28515625" customWidth="1"/>
    <col min="11266" max="11266" width="10.85546875" customWidth="1"/>
    <col min="11267" max="11267" width="10.140625" bestFit="1" customWidth="1"/>
    <col min="11268" max="11268" width="10.140625" customWidth="1"/>
    <col min="11269" max="11269" width="10.140625" bestFit="1" customWidth="1"/>
    <col min="11270" max="11275" width="10.140625" customWidth="1"/>
    <col min="11276" max="11276" width="10.7109375" customWidth="1"/>
    <col min="11277" max="11277" width="11.28515625" customWidth="1"/>
    <col min="11278" max="11278" width="17.42578125" customWidth="1"/>
    <col min="11279" max="11279" width="19.140625" customWidth="1"/>
    <col min="11282" max="11282" width="11.42578125" customWidth="1"/>
    <col min="11285" max="11285" width="10.5703125" customWidth="1"/>
    <col min="11521" max="11521" width="47.28515625" customWidth="1"/>
    <col min="11522" max="11522" width="10.85546875" customWidth="1"/>
    <col min="11523" max="11523" width="10.140625" bestFit="1" customWidth="1"/>
    <col min="11524" max="11524" width="10.140625" customWidth="1"/>
    <col min="11525" max="11525" width="10.140625" bestFit="1" customWidth="1"/>
    <col min="11526" max="11531" width="10.140625" customWidth="1"/>
    <col min="11532" max="11532" width="10.7109375" customWidth="1"/>
    <col min="11533" max="11533" width="11.28515625" customWidth="1"/>
    <col min="11534" max="11534" width="17.42578125" customWidth="1"/>
    <col min="11535" max="11535" width="19.140625" customWidth="1"/>
    <col min="11538" max="11538" width="11.42578125" customWidth="1"/>
    <col min="11541" max="11541" width="10.5703125" customWidth="1"/>
    <col min="11777" max="11777" width="47.28515625" customWidth="1"/>
    <col min="11778" max="11778" width="10.85546875" customWidth="1"/>
    <col min="11779" max="11779" width="10.140625" bestFit="1" customWidth="1"/>
    <col min="11780" max="11780" width="10.140625" customWidth="1"/>
    <col min="11781" max="11781" width="10.140625" bestFit="1" customWidth="1"/>
    <col min="11782" max="11787" width="10.140625" customWidth="1"/>
    <col min="11788" max="11788" width="10.7109375" customWidth="1"/>
    <col min="11789" max="11789" width="11.28515625" customWidth="1"/>
    <col min="11790" max="11790" width="17.42578125" customWidth="1"/>
    <col min="11791" max="11791" width="19.140625" customWidth="1"/>
    <col min="11794" max="11794" width="11.42578125" customWidth="1"/>
    <col min="11797" max="11797" width="10.5703125" customWidth="1"/>
    <col min="12033" max="12033" width="47.28515625" customWidth="1"/>
    <col min="12034" max="12034" width="10.85546875" customWidth="1"/>
    <col min="12035" max="12035" width="10.140625" bestFit="1" customWidth="1"/>
    <col min="12036" max="12036" width="10.140625" customWidth="1"/>
    <col min="12037" max="12037" width="10.140625" bestFit="1" customWidth="1"/>
    <col min="12038" max="12043" width="10.140625" customWidth="1"/>
    <col min="12044" max="12044" width="10.7109375" customWidth="1"/>
    <col min="12045" max="12045" width="11.28515625" customWidth="1"/>
    <col min="12046" max="12046" width="17.42578125" customWidth="1"/>
    <col min="12047" max="12047" width="19.140625" customWidth="1"/>
    <col min="12050" max="12050" width="11.42578125" customWidth="1"/>
    <col min="12053" max="12053" width="10.5703125" customWidth="1"/>
    <col min="12289" max="12289" width="47.28515625" customWidth="1"/>
    <col min="12290" max="12290" width="10.85546875" customWidth="1"/>
    <col min="12291" max="12291" width="10.140625" bestFit="1" customWidth="1"/>
    <col min="12292" max="12292" width="10.140625" customWidth="1"/>
    <col min="12293" max="12293" width="10.140625" bestFit="1" customWidth="1"/>
    <col min="12294" max="12299" width="10.140625" customWidth="1"/>
    <col min="12300" max="12300" width="10.7109375" customWidth="1"/>
    <col min="12301" max="12301" width="11.28515625" customWidth="1"/>
    <col min="12302" max="12302" width="17.42578125" customWidth="1"/>
    <col min="12303" max="12303" width="19.140625" customWidth="1"/>
    <col min="12306" max="12306" width="11.42578125" customWidth="1"/>
    <col min="12309" max="12309" width="10.5703125" customWidth="1"/>
    <col min="12545" max="12545" width="47.28515625" customWidth="1"/>
    <col min="12546" max="12546" width="10.85546875" customWidth="1"/>
    <col min="12547" max="12547" width="10.140625" bestFit="1" customWidth="1"/>
    <col min="12548" max="12548" width="10.140625" customWidth="1"/>
    <col min="12549" max="12549" width="10.140625" bestFit="1" customWidth="1"/>
    <col min="12550" max="12555" width="10.140625" customWidth="1"/>
    <col min="12556" max="12556" width="10.7109375" customWidth="1"/>
    <col min="12557" max="12557" width="11.28515625" customWidth="1"/>
    <col min="12558" max="12558" width="17.42578125" customWidth="1"/>
    <col min="12559" max="12559" width="19.140625" customWidth="1"/>
    <col min="12562" max="12562" width="11.42578125" customWidth="1"/>
    <col min="12565" max="12565" width="10.5703125" customWidth="1"/>
    <col min="12801" max="12801" width="47.28515625" customWidth="1"/>
    <col min="12802" max="12802" width="10.85546875" customWidth="1"/>
    <col min="12803" max="12803" width="10.140625" bestFit="1" customWidth="1"/>
    <col min="12804" max="12804" width="10.140625" customWidth="1"/>
    <col min="12805" max="12805" width="10.140625" bestFit="1" customWidth="1"/>
    <col min="12806" max="12811" width="10.140625" customWidth="1"/>
    <col min="12812" max="12812" width="10.7109375" customWidth="1"/>
    <col min="12813" max="12813" width="11.28515625" customWidth="1"/>
    <col min="12814" max="12814" width="17.42578125" customWidth="1"/>
    <col min="12815" max="12815" width="19.140625" customWidth="1"/>
    <col min="12818" max="12818" width="11.42578125" customWidth="1"/>
    <col min="12821" max="12821" width="10.5703125" customWidth="1"/>
    <col min="13057" max="13057" width="47.28515625" customWidth="1"/>
    <col min="13058" max="13058" width="10.85546875" customWidth="1"/>
    <col min="13059" max="13059" width="10.140625" bestFit="1" customWidth="1"/>
    <col min="13060" max="13060" width="10.140625" customWidth="1"/>
    <col min="13061" max="13061" width="10.140625" bestFit="1" customWidth="1"/>
    <col min="13062" max="13067" width="10.140625" customWidth="1"/>
    <col min="13068" max="13068" width="10.7109375" customWidth="1"/>
    <col min="13069" max="13069" width="11.28515625" customWidth="1"/>
    <col min="13070" max="13070" width="17.42578125" customWidth="1"/>
    <col min="13071" max="13071" width="19.140625" customWidth="1"/>
    <col min="13074" max="13074" width="11.42578125" customWidth="1"/>
    <col min="13077" max="13077" width="10.5703125" customWidth="1"/>
    <col min="13313" max="13313" width="47.28515625" customWidth="1"/>
    <col min="13314" max="13314" width="10.85546875" customWidth="1"/>
    <col min="13315" max="13315" width="10.140625" bestFit="1" customWidth="1"/>
    <col min="13316" max="13316" width="10.140625" customWidth="1"/>
    <col min="13317" max="13317" width="10.140625" bestFit="1" customWidth="1"/>
    <col min="13318" max="13323" width="10.140625" customWidth="1"/>
    <col min="13324" max="13324" width="10.7109375" customWidth="1"/>
    <col min="13325" max="13325" width="11.28515625" customWidth="1"/>
    <col min="13326" max="13326" width="17.42578125" customWidth="1"/>
    <col min="13327" max="13327" width="19.140625" customWidth="1"/>
    <col min="13330" max="13330" width="11.42578125" customWidth="1"/>
    <col min="13333" max="13333" width="10.5703125" customWidth="1"/>
    <col min="13569" max="13569" width="47.28515625" customWidth="1"/>
    <col min="13570" max="13570" width="10.85546875" customWidth="1"/>
    <col min="13571" max="13571" width="10.140625" bestFit="1" customWidth="1"/>
    <col min="13572" max="13572" width="10.140625" customWidth="1"/>
    <col min="13573" max="13573" width="10.140625" bestFit="1" customWidth="1"/>
    <col min="13574" max="13579" width="10.140625" customWidth="1"/>
    <col min="13580" max="13580" width="10.7109375" customWidth="1"/>
    <col min="13581" max="13581" width="11.28515625" customWidth="1"/>
    <col min="13582" max="13582" width="17.42578125" customWidth="1"/>
    <col min="13583" max="13583" width="19.140625" customWidth="1"/>
    <col min="13586" max="13586" width="11.42578125" customWidth="1"/>
    <col min="13589" max="13589" width="10.5703125" customWidth="1"/>
    <col min="13825" max="13825" width="47.28515625" customWidth="1"/>
    <col min="13826" max="13826" width="10.85546875" customWidth="1"/>
    <col min="13827" max="13827" width="10.140625" bestFit="1" customWidth="1"/>
    <col min="13828" max="13828" width="10.140625" customWidth="1"/>
    <col min="13829" max="13829" width="10.140625" bestFit="1" customWidth="1"/>
    <col min="13830" max="13835" width="10.140625" customWidth="1"/>
    <col min="13836" max="13836" width="10.7109375" customWidth="1"/>
    <col min="13837" max="13837" width="11.28515625" customWidth="1"/>
    <col min="13838" max="13838" width="17.42578125" customWidth="1"/>
    <col min="13839" max="13839" width="19.140625" customWidth="1"/>
    <col min="13842" max="13842" width="11.42578125" customWidth="1"/>
    <col min="13845" max="13845" width="10.5703125" customWidth="1"/>
    <col min="14081" max="14081" width="47.28515625" customWidth="1"/>
    <col min="14082" max="14082" width="10.85546875" customWidth="1"/>
    <col min="14083" max="14083" width="10.140625" bestFit="1" customWidth="1"/>
    <col min="14084" max="14084" width="10.140625" customWidth="1"/>
    <col min="14085" max="14085" width="10.140625" bestFit="1" customWidth="1"/>
    <col min="14086" max="14091" width="10.140625" customWidth="1"/>
    <col min="14092" max="14092" width="10.7109375" customWidth="1"/>
    <col min="14093" max="14093" width="11.28515625" customWidth="1"/>
    <col min="14094" max="14094" width="17.42578125" customWidth="1"/>
    <col min="14095" max="14095" width="19.140625" customWidth="1"/>
    <col min="14098" max="14098" width="11.42578125" customWidth="1"/>
    <col min="14101" max="14101" width="10.5703125" customWidth="1"/>
    <col min="14337" max="14337" width="47.28515625" customWidth="1"/>
    <col min="14338" max="14338" width="10.85546875" customWidth="1"/>
    <col min="14339" max="14339" width="10.140625" bestFit="1" customWidth="1"/>
    <col min="14340" max="14340" width="10.140625" customWidth="1"/>
    <col min="14341" max="14341" width="10.140625" bestFit="1" customWidth="1"/>
    <col min="14342" max="14347" width="10.140625" customWidth="1"/>
    <col min="14348" max="14348" width="10.7109375" customWidth="1"/>
    <col min="14349" max="14349" width="11.28515625" customWidth="1"/>
    <col min="14350" max="14350" width="17.42578125" customWidth="1"/>
    <col min="14351" max="14351" width="19.140625" customWidth="1"/>
    <col min="14354" max="14354" width="11.42578125" customWidth="1"/>
    <col min="14357" max="14357" width="10.5703125" customWidth="1"/>
    <col min="14593" max="14593" width="47.28515625" customWidth="1"/>
    <col min="14594" max="14594" width="10.85546875" customWidth="1"/>
    <col min="14595" max="14595" width="10.140625" bestFit="1" customWidth="1"/>
    <col min="14596" max="14596" width="10.140625" customWidth="1"/>
    <col min="14597" max="14597" width="10.140625" bestFit="1" customWidth="1"/>
    <col min="14598" max="14603" width="10.140625" customWidth="1"/>
    <col min="14604" max="14604" width="10.7109375" customWidth="1"/>
    <col min="14605" max="14605" width="11.28515625" customWidth="1"/>
    <col min="14606" max="14606" width="17.42578125" customWidth="1"/>
    <col min="14607" max="14607" width="19.140625" customWidth="1"/>
    <col min="14610" max="14610" width="11.42578125" customWidth="1"/>
    <col min="14613" max="14613" width="10.5703125" customWidth="1"/>
    <col min="14849" max="14849" width="47.28515625" customWidth="1"/>
    <col min="14850" max="14850" width="10.85546875" customWidth="1"/>
    <col min="14851" max="14851" width="10.140625" bestFit="1" customWidth="1"/>
    <col min="14852" max="14852" width="10.140625" customWidth="1"/>
    <col min="14853" max="14853" width="10.140625" bestFit="1" customWidth="1"/>
    <col min="14854" max="14859" width="10.140625" customWidth="1"/>
    <col min="14860" max="14860" width="10.7109375" customWidth="1"/>
    <col min="14861" max="14861" width="11.28515625" customWidth="1"/>
    <col min="14862" max="14862" width="17.42578125" customWidth="1"/>
    <col min="14863" max="14863" width="19.140625" customWidth="1"/>
    <col min="14866" max="14866" width="11.42578125" customWidth="1"/>
    <col min="14869" max="14869" width="10.5703125" customWidth="1"/>
    <col min="15105" max="15105" width="47.28515625" customWidth="1"/>
    <col min="15106" max="15106" width="10.85546875" customWidth="1"/>
    <col min="15107" max="15107" width="10.140625" bestFit="1" customWidth="1"/>
    <col min="15108" max="15108" width="10.140625" customWidth="1"/>
    <col min="15109" max="15109" width="10.140625" bestFit="1" customWidth="1"/>
    <col min="15110" max="15115" width="10.140625" customWidth="1"/>
    <col min="15116" max="15116" width="10.7109375" customWidth="1"/>
    <col min="15117" max="15117" width="11.28515625" customWidth="1"/>
    <col min="15118" max="15118" width="17.42578125" customWidth="1"/>
    <col min="15119" max="15119" width="19.140625" customWidth="1"/>
    <col min="15122" max="15122" width="11.42578125" customWidth="1"/>
    <col min="15125" max="15125" width="10.5703125" customWidth="1"/>
    <col min="15361" max="15361" width="47.28515625" customWidth="1"/>
    <col min="15362" max="15362" width="10.85546875" customWidth="1"/>
    <col min="15363" max="15363" width="10.140625" bestFit="1" customWidth="1"/>
    <col min="15364" max="15364" width="10.140625" customWidth="1"/>
    <col min="15365" max="15365" width="10.140625" bestFit="1" customWidth="1"/>
    <col min="15366" max="15371" width="10.140625" customWidth="1"/>
    <col min="15372" max="15372" width="10.7109375" customWidth="1"/>
    <col min="15373" max="15373" width="11.28515625" customWidth="1"/>
    <col min="15374" max="15374" width="17.42578125" customWidth="1"/>
    <col min="15375" max="15375" width="19.140625" customWidth="1"/>
    <col min="15378" max="15378" width="11.42578125" customWidth="1"/>
    <col min="15381" max="15381" width="10.5703125" customWidth="1"/>
    <col min="15617" max="15617" width="47.28515625" customWidth="1"/>
    <col min="15618" max="15618" width="10.85546875" customWidth="1"/>
    <col min="15619" max="15619" width="10.140625" bestFit="1" customWidth="1"/>
    <col min="15620" max="15620" width="10.140625" customWidth="1"/>
    <col min="15621" max="15621" width="10.140625" bestFit="1" customWidth="1"/>
    <col min="15622" max="15627" width="10.140625" customWidth="1"/>
    <col min="15628" max="15628" width="10.7109375" customWidth="1"/>
    <col min="15629" max="15629" width="11.28515625" customWidth="1"/>
    <col min="15630" max="15630" width="17.42578125" customWidth="1"/>
    <col min="15631" max="15631" width="19.140625" customWidth="1"/>
    <col min="15634" max="15634" width="11.42578125" customWidth="1"/>
    <col min="15637" max="15637" width="10.5703125" customWidth="1"/>
    <col min="15873" max="15873" width="47.28515625" customWidth="1"/>
    <col min="15874" max="15874" width="10.85546875" customWidth="1"/>
    <col min="15875" max="15875" width="10.140625" bestFit="1" customWidth="1"/>
    <col min="15876" max="15876" width="10.140625" customWidth="1"/>
    <col min="15877" max="15877" width="10.140625" bestFit="1" customWidth="1"/>
    <col min="15878" max="15883" width="10.140625" customWidth="1"/>
    <col min="15884" max="15884" width="10.7109375" customWidth="1"/>
    <col min="15885" max="15885" width="11.28515625" customWidth="1"/>
    <col min="15886" max="15886" width="17.42578125" customWidth="1"/>
    <col min="15887" max="15887" width="19.140625" customWidth="1"/>
    <col min="15890" max="15890" width="11.42578125" customWidth="1"/>
    <col min="15893" max="15893" width="10.5703125" customWidth="1"/>
    <col min="16129" max="16129" width="47.28515625" customWidth="1"/>
    <col min="16130" max="16130" width="10.85546875" customWidth="1"/>
    <col min="16131" max="16131" width="10.140625" bestFit="1" customWidth="1"/>
    <col min="16132" max="16132" width="10.140625" customWidth="1"/>
    <col min="16133" max="16133" width="10.140625" bestFit="1" customWidth="1"/>
    <col min="16134" max="16139" width="10.140625" customWidth="1"/>
    <col min="16140" max="16140" width="10.7109375" customWidth="1"/>
    <col min="16141" max="16141" width="11.28515625" customWidth="1"/>
    <col min="16142" max="16142" width="17.42578125" customWidth="1"/>
    <col min="16143" max="16143" width="19.140625" customWidth="1"/>
    <col min="16146" max="16146" width="11.42578125" customWidth="1"/>
    <col min="16149" max="16149" width="10.5703125" customWidth="1"/>
  </cols>
  <sheetData>
    <row r="1" spans="1:21" ht="54.75" customHeight="1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4" t="s">
        <v>13</v>
      </c>
      <c r="O1" s="5" t="s">
        <v>14</v>
      </c>
      <c r="P1">
        <v>2025</v>
      </c>
      <c r="Q1">
        <v>2026</v>
      </c>
      <c r="R1">
        <v>2027</v>
      </c>
      <c r="S1">
        <v>2028</v>
      </c>
      <c r="T1">
        <v>2029</v>
      </c>
      <c r="U1">
        <v>2030</v>
      </c>
    </row>
    <row r="2" spans="1:21" ht="15" customHeight="1">
      <c r="A2" s="6" t="s">
        <v>15</v>
      </c>
      <c r="B2" s="7">
        <f t="shared" ref="B2:G2" si="0">B3+B7+B8+B12</f>
        <v>14376123.25</v>
      </c>
      <c r="C2" s="7">
        <f t="shared" si="0"/>
        <v>15967261.110000001</v>
      </c>
      <c r="D2" s="7">
        <f t="shared" si="0"/>
        <v>17219927.079999998</v>
      </c>
      <c r="E2" s="7">
        <f t="shared" si="0"/>
        <v>18267673.064800002</v>
      </c>
      <c r="F2" s="7">
        <f t="shared" si="0"/>
        <v>18841062.608688001</v>
      </c>
      <c r="G2" s="8">
        <f t="shared" si="0"/>
        <v>19412847.975209281</v>
      </c>
      <c r="H2" s="8">
        <f>H3+H7+H8+H12</f>
        <v>20014778.526221838</v>
      </c>
      <c r="I2" s="8">
        <f>I3+I7+I8+I12</f>
        <v>20648457.875920147</v>
      </c>
      <c r="J2" s="8">
        <f>J3+J7+J8+J12</f>
        <v>21315569.270506606</v>
      </c>
      <c r="K2" s="8">
        <f>K3+K7+K8+K12</f>
        <v>22017889.205869816</v>
      </c>
      <c r="L2" s="8">
        <f>L3+L7+L8+L12</f>
        <v>22757286.296311457</v>
      </c>
      <c r="N2" s="9" t="s">
        <v>16</v>
      </c>
    </row>
    <row r="3" spans="1:21">
      <c r="A3" s="10" t="s">
        <v>17</v>
      </c>
      <c r="B3" s="11">
        <f t="shared" ref="B3:G3" si="1">SUM(B4:B6)</f>
        <v>6839771.9000000004</v>
      </c>
      <c r="C3" s="11">
        <f t="shared" si="1"/>
        <v>7507689.9900000002</v>
      </c>
      <c r="D3" s="11">
        <f t="shared" si="1"/>
        <v>7965000</v>
      </c>
      <c r="E3" s="11">
        <f t="shared" si="1"/>
        <v>8367270</v>
      </c>
      <c r="F3" s="11">
        <f t="shared" si="1"/>
        <v>8793875</v>
      </c>
      <c r="G3" s="12">
        <f t="shared" si="1"/>
        <v>9210068.75</v>
      </c>
      <c r="H3" s="12">
        <f>SUM(H4:H6)</f>
        <v>9647072.1875</v>
      </c>
      <c r="I3" s="12">
        <f>SUM(I4:I6)</f>
        <v>10105925.796875</v>
      </c>
      <c r="J3" s="12">
        <f>SUM(J4:J6)</f>
        <v>10587722.086718749</v>
      </c>
      <c r="K3" s="12">
        <f>SUM(K4:K6)</f>
        <v>11093608.191054687</v>
      </c>
      <c r="L3" s="12">
        <f>SUM(L4:L6)</f>
        <v>11624788.600607421</v>
      </c>
    </row>
    <row r="4" spans="1:21">
      <c r="A4" s="10" t="s">
        <v>18</v>
      </c>
      <c r="B4" s="13">
        <v>6425134.3200000003</v>
      </c>
      <c r="C4" s="13">
        <v>7092530.25</v>
      </c>
      <c r="D4" s="14">
        <v>7550000</v>
      </c>
      <c r="E4" s="14">
        <f>D4+(D4*0.05)</f>
        <v>7927500</v>
      </c>
      <c r="F4" s="15">
        <f t="shared" ref="F4:L4" si="2">E4+(E4*0.05)</f>
        <v>8323875</v>
      </c>
      <c r="G4" s="14">
        <f t="shared" si="2"/>
        <v>8740068.75</v>
      </c>
      <c r="H4" s="14">
        <f t="shared" si="2"/>
        <v>9177072.1875</v>
      </c>
      <c r="I4" s="14">
        <f t="shared" si="2"/>
        <v>9635925.796875</v>
      </c>
      <c r="J4" s="14">
        <f t="shared" si="2"/>
        <v>10117722.086718749</v>
      </c>
      <c r="K4" s="14">
        <f t="shared" si="2"/>
        <v>10623608.191054687</v>
      </c>
      <c r="L4" s="14">
        <f t="shared" si="2"/>
        <v>11154788.600607421</v>
      </c>
      <c r="M4" s="16">
        <f t="shared" ref="M4:R4" si="3">C4/B4-1</f>
        <v>0.10387268137298644</v>
      </c>
      <c r="N4" s="16">
        <f t="shared" si="3"/>
        <v>6.4500218381162266E-2</v>
      </c>
      <c r="O4" s="16">
        <f t="shared" si="3"/>
        <v>5.0000000000000044E-2</v>
      </c>
      <c r="P4" s="16">
        <f t="shared" si="3"/>
        <v>5.0000000000000044E-2</v>
      </c>
      <c r="Q4" s="16">
        <f t="shared" si="3"/>
        <v>5.0000000000000044E-2</v>
      </c>
      <c r="R4" s="16">
        <f t="shared" si="3"/>
        <v>5.0000000000000044E-2</v>
      </c>
      <c r="S4" s="16">
        <f>I4/H4-1</f>
        <v>5.0000000000000044E-2</v>
      </c>
      <c r="T4" s="16">
        <f>J4/I4-1</f>
        <v>4.9999999999999822E-2</v>
      </c>
      <c r="U4" s="16">
        <f>K4/J4-1</f>
        <v>5.0000000000000044E-2</v>
      </c>
    </row>
    <row r="5" spans="1:21">
      <c r="A5" s="10" t="s">
        <v>19</v>
      </c>
      <c r="B5" s="13">
        <v>414637.58</v>
      </c>
      <c r="C5" s="13">
        <v>415159.74</v>
      </c>
      <c r="D5" s="14">
        <v>415000</v>
      </c>
      <c r="E5" s="119">
        <v>439770</v>
      </c>
      <c r="F5" s="15">
        <v>470000</v>
      </c>
      <c r="G5" s="14">
        <v>470000</v>
      </c>
      <c r="H5" s="14">
        <v>470000</v>
      </c>
      <c r="I5" s="14">
        <v>470000</v>
      </c>
      <c r="J5" s="14">
        <v>470000</v>
      </c>
      <c r="K5" s="14">
        <v>470000</v>
      </c>
      <c r="L5" s="14">
        <v>470000</v>
      </c>
    </row>
    <row r="6" spans="1:21">
      <c r="A6" s="10" t="s">
        <v>20</v>
      </c>
      <c r="B6" s="13">
        <v>0</v>
      </c>
      <c r="C6" s="13">
        <v>0</v>
      </c>
      <c r="D6" s="14"/>
      <c r="E6" s="14"/>
      <c r="F6" s="15"/>
      <c r="G6" s="14"/>
      <c r="H6" s="14"/>
      <c r="I6" s="14"/>
      <c r="J6" s="14"/>
      <c r="K6" s="14"/>
      <c r="L6" s="14"/>
    </row>
    <row r="7" spans="1:21">
      <c r="A7" s="10" t="s">
        <v>21</v>
      </c>
      <c r="B7" s="17">
        <v>1420541.13</v>
      </c>
      <c r="C7" s="17">
        <v>1993709.54</v>
      </c>
      <c r="D7" s="14">
        <v>2307933.08</v>
      </c>
      <c r="E7" s="14">
        <f>D7+(D7*0.06)</f>
        <v>2446409.0648000003</v>
      </c>
      <c r="F7" s="15">
        <f t="shared" ref="F7:L7" si="4">E7+(E7*0.06)</f>
        <v>2593193.6086880001</v>
      </c>
      <c r="G7" s="14">
        <f t="shared" si="4"/>
        <v>2748785.2252092799</v>
      </c>
      <c r="H7" s="14">
        <f t="shared" si="4"/>
        <v>2913712.3387218369</v>
      </c>
      <c r="I7" s="14">
        <f t="shared" si="4"/>
        <v>3088535.0790451472</v>
      </c>
      <c r="J7" s="14">
        <f t="shared" si="4"/>
        <v>3273847.1837878558</v>
      </c>
      <c r="K7" s="14">
        <f t="shared" si="4"/>
        <v>3470278.014815127</v>
      </c>
      <c r="L7" s="14">
        <f t="shared" si="4"/>
        <v>3678494.6957040345</v>
      </c>
      <c r="M7" s="16">
        <f t="shared" ref="M7:R7" si="5">C7/B7-1</f>
        <v>0.40348596594313335</v>
      </c>
      <c r="N7" s="16">
        <f t="shared" si="5"/>
        <v>0.15760748177991868</v>
      </c>
      <c r="O7" s="16">
        <f t="shared" si="5"/>
        <v>6.0000000000000053E-2</v>
      </c>
      <c r="P7" s="16">
        <f t="shared" si="5"/>
        <v>5.9999999999999831E-2</v>
      </c>
      <c r="Q7" s="16">
        <f t="shared" si="5"/>
        <v>5.9999999999999831E-2</v>
      </c>
      <c r="R7" s="16">
        <f t="shared" si="5"/>
        <v>6.0000000000000053E-2</v>
      </c>
      <c r="S7" s="16">
        <f>I7/H7-1</f>
        <v>6.0000000000000053E-2</v>
      </c>
      <c r="T7" s="16">
        <f>J7/I7-1</f>
        <v>5.9999999999999831E-2</v>
      </c>
      <c r="U7" s="16">
        <f>K7/J7-1</f>
        <v>6.0000000000000053E-2</v>
      </c>
    </row>
    <row r="8" spans="1:21">
      <c r="A8" s="10" t="s">
        <v>22</v>
      </c>
      <c r="B8" s="18">
        <f t="shared" ref="B8:G8" si="6">SUM(B9:B11)</f>
        <v>6034364.7599999998</v>
      </c>
      <c r="C8" s="11">
        <f t="shared" si="6"/>
        <v>6342117.540000001</v>
      </c>
      <c r="D8" s="11">
        <f t="shared" si="6"/>
        <v>6908994</v>
      </c>
      <c r="E8" s="11">
        <f t="shared" si="6"/>
        <v>7415994</v>
      </c>
      <c r="F8" s="18">
        <f t="shared" si="6"/>
        <v>7415994</v>
      </c>
      <c r="G8" s="11">
        <f t="shared" si="6"/>
        <v>7415994</v>
      </c>
      <c r="H8" s="11">
        <f>SUM(H9:H11)</f>
        <v>7415994</v>
      </c>
      <c r="I8" s="11">
        <f>SUM(I9:I11)</f>
        <v>7415996</v>
      </c>
      <c r="J8" s="11">
        <f>SUM(J9:J11)</f>
        <v>7415998</v>
      </c>
      <c r="K8" s="11">
        <f>SUM(K9:K11)</f>
        <v>7416000</v>
      </c>
      <c r="L8" s="11">
        <f>SUM(L9:L11)</f>
        <v>7416000</v>
      </c>
    </row>
    <row r="9" spans="1:21">
      <c r="A9" s="10" t="s">
        <v>23</v>
      </c>
      <c r="B9" s="17">
        <v>1545151</v>
      </c>
      <c r="C9" s="17">
        <v>1646597</v>
      </c>
      <c r="D9" s="14">
        <v>1578158</v>
      </c>
      <c r="E9" s="14">
        <f>1578158+400000+107000</f>
        <v>2085158</v>
      </c>
      <c r="F9" s="15">
        <f t="shared" ref="F9:L9" si="7">1578158+400000+107000</f>
        <v>2085158</v>
      </c>
      <c r="G9" s="14">
        <f t="shared" si="7"/>
        <v>2085158</v>
      </c>
      <c r="H9" s="14">
        <f t="shared" si="7"/>
        <v>2085158</v>
      </c>
      <c r="I9" s="14">
        <f t="shared" si="7"/>
        <v>2085158</v>
      </c>
      <c r="J9" s="14">
        <f t="shared" si="7"/>
        <v>2085158</v>
      </c>
      <c r="K9" s="14">
        <f t="shared" si="7"/>
        <v>2085158</v>
      </c>
      <c r="L9" s="14">
        <f t="shared" si="7"/>
        <v>2085158</v>
      </c>
    </row>
    <row r="10" spans="1:21">
      <c r="A10" s="10" t="s">
        <v>24</v>
      </c>
      <c r="B10" s="17">
        <v>3694561</v>
      </c>
      <c r="C10" s="17">
        <v>3974041.98</v>
      </c>
      <c r="D10" s="14">
        <v>5122240</v>
      </c>
      <c r="E10" s="14">
        <v>5122240</v>
      </c>
      <c r="F10" s="15">
        <v>5122240</v>
      </c>
      <c r="G10" s="14">
        <v>5122240</v>
      </c>
      <c r="H10" s="14">
        <v>5122240</v>
      </c>
      <c r="I10" s="14">
        <v>5122241</v>
      </c>
      <c r="J10" s="14">
        <v>5122242</v>
      </c>
      <c r="K10" s="14">
        <v>5122243</v>
      </c>
      <c r="L10" s="14">
        <v>5122243</v>
      </c>
      <c r="M10" s="9" t="s">
        <v>25</v>
      </c>
    </row>
    <row r="11" spans="1:21">
      <c r="A11" s="10" t="s">
        <v>26</v>
      </c>
      <c r="B11" s="17">
        <v>794652.76</v>
      </c>
      <c r="C11" s="17">
        <v>721478.56</v>
      </c>
      <c r="D11" s="14">
        <v>208596</v>
      </c>
      <c r="E11" s="14">
        <v>208596</v>
      </c>
      <c r="F11" s="15">
        <v>208596</v>
      </c>
      <c r="G11" s="14">
        <v>208596</v>
      </c>
      <c r="H11" s="14">
        <v>208596</v>
      </c>
      <c r="I11" s="14">
        <v>208597</v>
      </c>
      <c r="J11" s="14">
        <v>208598</v>
      </c>
      <c r="K11" s="14">
        <v>208599</v>
      </c>
      <c r="L11" s="14">
        <v>208599</v>
      </c>
      <c r="M11" s="19" t="s">
        <v>27</v>
      </c>
    </row>
    <row r="12" spans="1:21">
      <c r="A12" s="10" t="s">
        <v>28</v>
      </c>
      <c r="B12" s="17">
        <v>81445.459999999992</v>
      </c>
      <c r="C12" s="17">
        <v>123744.04</v>
      </c>
      <c r="D12" s="14">
        <v>38000</v>
      </c>
      <c r="E12" s="14">
        <v>38000</v>
      </c>
      <c r="F12" s="15">
        <v>38000</v>
      </c>
      <c r="G12" s="14">
        <v>38000</v>
      </c>
      <c r="H12" s="14">
        <v>38000</v>
      </c>
      <c r="I12" s="14">
        <v>38001</v>
      </c>
      <c r="J12" s="14">
        <v>38002</v>
      </c>
      <c r="K12" s="14">
        <v>38003</v>
      </c>
      <c r="L12" s="14">
        <v>38003</v>
      </c>
      <c r="M12" t="s">
        <v>29</v>
      </c>
    </row>
    <row r="13" spans="1:21">
      <c r="A13" s="20" t="s">
        <v>30</v>
      </c>
      <c r="B13" s="21">
        <f t="shared" ref="B13:G13" si="8">SUM(B14:B15)</f>
        <v>13245683.550000001</v>
      </c>
      <c r="C13" s="21">
        <f>C14+C15</f>
        <v>14669153.33</v>
      </c>
      <c r="D13" s="22">
        <f t="shared" si="8"/>
        <v>16181564.050000001</v>
      </c>
      <c r="E13" s="22">
        <f t="shared" si="8"/>
        <v>17147719.362000003</v>
      </c>
      <c r="F13" s="21">
        <f t="shared" si="8"/>
        <v>17751247.912600003</v>
      </c>
      <c r="G13" s="22">
        <f t="shared" si="8"/>
        <v>18171573.291028</v>
      </c>
      <c r="H13" s="22">
        <f>SUM(H14:H15)</f>
        <v>18603459.599029839</v>
      </c>
      <c r="I13" s="22">
        <f>SUM(I14:I15)</f>
        <v>19047232.687857155</v>
      </c>
      <c r="J13" s="22">
        <f>SUM(J14:J15)</f>
        <v>19503227.764766417</v>
      </c>
      <c r="K13" s="22">
        <f>SUM(K14:K15)</f>
        <v>19971789.665308431</v>
      </c>
      <c r="L13" s="22">
        <f>SUM(L14:L15)</f>
        <v>20453273.133618683</v>
      </c>
    </row>
    <row r="14" spans="1:21">
      <c r="A14" s="10" t="s">
        <v>31</v>
      </c>
      <c r="B14" s="17">
        <v>964148.46</v>
      </c>
      <c r="C14" s="17">
        <v>1371631.19</v>
      </c>
      <c r="D14" s="14">
        <v>1590149</v>
      </c>
      <c r="E14" s="14">
        <f>1590149+400000</f>
        <v>1990149</v>
      </c>
      <c r="F14" s="15">
        <f t="shared" ref="F14:L14" si="9">E14</f>
        <v>1990149</v>
      </c>
      <c r="G14" s="14">
        <f t="shared" si="9"/>
        <v>1990149</v>
      </c>
      <c r="H14" s="14">
        <f t="shared" si="9"/>
        <v>1990149</v>
      </c>
      <c r="I14" s="14">
        <f t="shared" si="9"/>
        <v>1990149</v>
      </c>
      <c r="J14" s="14">
        <f t="shared" si="9"/>
        <v>1990149</v>
      </c>
      <c r="K14" s="14">
        <f t="shared" si="9"/>
        <v>1990149</v>
      </c>
      <c r="L14" s="14">
        <f t="shared" si="9"/>
        <v>1990149</v>
      </c>
      <c r="M14" s="16">
        <f t="shared" ref="M14:R14" si="10">C14/B14-1</f>
        <v>0.42263483986688111</v>
      </c>
      <c r="N14" s="16">
        <f t="shared" si="10"/>
        <v>0.15931236588459319</v>
      </c>
      <c r="O14" s="16">
        <f t="shared" si="10"/>
        <v>0.25154875423623824</v>
      </c>
      <c r="P14" s="16">
        <f t="shared" si="10"/>
        <v>0</v>
      </c>
      <c r="Q14" s="16">
        <f t="shared" si="10"/>
        <v>0</v>
      </c>
      <c r="R14" s="16">
        <f t="shared" si="10"/>
        <v>0</v>
      </c>
      <c r="S14" s="16">
        <f>I14/H14-1</f>
        <v>0</v>
      </c>
      <c r="T14" s="16">
        <f>J14/I14-1</f>
        <v>0</v>
      </c>
      <c r="U14" s="16">
        <f>K14/J14-1</f>
        <v>0</v>
      </c>
    </row>
    <row r="15" spans="1:21">
      <c r="A15" s="10" t="s">
        <v>32</v>
      </c>
      <c r="B15" s="18">
        <f t="shared" ref="B15:G15" si="11">B16+B17+B19</f>
        <v>12281535.090000002</v>
      </c>
      <c r="C15" s="18">
        <f t="shared" si="11"/>
        <v>13297522.140000001</v>
      </c>
      <c r="D15" s="23">
        <f t="shared" si="11"/>
        <v>14591415.050000001</v>
      </c>
      <c r="E15" s="23">
        <f t="shared" si="11"/>
        <v>15157570.362000002</v>
      </c>
      <c r="F15" s="23">
        <f t="shared" si="11"/>
        <v>15761098.912600001</v>
      </c>
      <c r="G15" s="24">
        <f t="shared" si="11"/>
        <v>16181424.291028</v>
      </c>
      <c r="H15" s="24">
        <f>H16+H17+H19</f>
        <v>16613310.599029841</v>
      </c>
      <c r="I15" s="24">
        <f>I16+I17+I19</f>
        <v>17057083.687857155</v>
      </c>
      <c r="J15" s="24">
        <f>J16+J17+J19</f>
        <v>17513078.764766417</v>
      </c>
      <c r="K15" s="24">
        <f>K16+K17+K19</f>
        <v>17981640.665308431</v>
      </c>
      <c r="L15" s="24">
        <f>L16+L17+L19</f>
        <v>18463124.133618683</v>
      </c>
      <c r="M15" s="25" t="s">
        <v>33</v>
      </c>
      <c r="N15" s="26">
        <f>SUM(E16-D16)</f>
        <v>385155.31200000085</v>
      </c>
    </row>
    <row r="16" spans="1:21">
      <c r="A16" s="10" t="s">
        <v>34</v>
      </c>
      <c r="B16" s="17">
        <v>7965228.6600000001</v>
      </c>
      <c r="C16" s="17">
        <v>8627997.6199999992</v>
      </c>
      <c r="D16" s="14">
        <v>9628882.8000000007</v>
      </c>
      <c r="E16" s="14">
        <f>D16+(D16*0.04)</f>
        <v>10014038.112000002</v>
      </c>
      <c r="F16" s="15">
        <f>E16+(E16*0.05)</f>
        <v>10514740.017600002</v>
      </c>
      <c r="G16" s="14">
        <f t="shared" ref="G16:L16" si="12">F16+(F16*0.03)</f>
        <v>10830182.218128001</v>
      </c>
      <c r="H16" s="14">
        <f t="shared" si="12"/>
        <v>11155087.684671842</v>
      </c>
      <c r="I16" s="14">
        <f t="shared" si="12"/>
        <v>11489740.315211996</v>
      </c>
      <c r="J16" s="14">
        <f t="shared" si="12"/>
        <v>11834432.524668356</v>
      </c>
      <c r="K16" s="14">
        <f t="shared" si="12"/>
        <v>12189465.500408407</v>
      </c>
      <c r="L16" s="14">
        <f t="shared" si="12"/>
        <v>12555149.46542066</v>
      </c>
      <c r="M16" s="16">
        <f>C16/B16-1</f>
        <v>8.320777573257998E-2</v>
      </c>
      <c r="N16" s="16">
        <f t="shared" ref="M16:U17" si="13">D16/C16-1</f>
        <v>0.11600434122511971</v>
      </c>
      <c r="O16" s="16">
        <f t="shared" si="13"/>
        <v>4.0000000000000036E-2</v>
      </c>
      <c r="P16" s="16">
        <f t="shared" si="13"/>
        <v>5.0000000000000044E-2</v>
      </c>
      <c r="Q16" s="16">
        <f t="shared" si="13"/>
        <v>3.0000000000000027E-2</v>
      </c>
      <c r="R16" s="16">
        <f t="shared" si="13"/>
        <v>3.0000000000000027E-2</v>
      </c>
      <c r="S16" s="16">
        <f t="shared" si="13"/>
        <v>3.0000000000000027E-2</v>
      </c>
      <c r="T16" s="16">
        <f t="shared" si="13"/>
        <v>3.0000000000000027E-2</v>
      </c>
      <c r="U16" s="16">
        <f t="shared" si="13"/>
        <v>3.0000000000000027E-2</v>
      </c>
    </row>
    <row r="17" spans="1:21">
      <c r="A17" s="10" t="s">
        <v>35</v>
      </c>
      <c r="B17" s="17">
        <v>4316153.28</v>
      </c>
      <c r="C17" s="17">
        <v>4666673.45</v>
      </c>
      <c r="D17" s="14">
        <f>4825332.25+173000-38000</f>
        <v>4960332.25</v>
      </c>
      <c r="E17" s="14">
        <f>4825332.25+173000+150000-7000</f>
        <v>5141332.25</v>
      </c>
      <c r="F17" s="15">
        <f t="shared" ref="F17:L17" si="14">E17+(E17*0.02)</f>
        <v>5244158.8949999996</v>
      </c>
      <c r="G17" s="14">
        <f t="shared" si="14"/>
        <v>5349042.0728999991</v>
      </c>
      <c r="H17" s="14">
        <f t="shared" si="14"/>
        <v>5456022.9143579993</v>
      </c>
      <c r="I17" s="14">
        <f t="shared" si="14"/>
        <v>5565143.3726451593</v>
      </c>
      <c r="J17" s="14">
        <f t="shared" si="14"/>
        <v>5676446.2400980629</v>
      </c>
      <c r="K17" s="14">
        <f t="shared" si="14"/>
        <v>5789975.1649000244</v>
      </c>
      <c r="L17" s="14">
        <f t="shared" si="14"/>
        <v>5905774.6681980249</v>
      </c>
      <c r="M17" s="16">
        <f t="shared" si="13"/>
        <v>8.1211242340309076E-2</v>
      </c>
      <c r="N17" s="16">
        <f t="shared" si="13"/>
        <v>6.2926794245695472E-2</v>
      </c>
      <c r="O17" s="16">
        <f t="shared" si="13"/>
        <v>3.6489491202932989E-2</v>
      </c>
      <c r="P17" s="16">
        <f t="shared" si="13"/>
        <v>2.0000000000000018E-2</v>
      </c>
      <c r="Q17" s="16">
        <f t="shared" si="13"/>
        <v>2.0000000000000018E-2</v>
      </c>
      <c r="R17" s="16">
        <f t="shared" si="13"/>
        <v>2.0000000000000018E-2</v>
      </c>
      <c r="S17" s="16">
        <f t="shared" si="13"/>
        <v>2.0000000000000018E-2</v>
      </c>
      <c r="T17" s="16">
        <f t="shared" si="13"/>
        <v>2.0000000000000018E-2</v>
      </c>
      <c r="U17" s="16">
        <f t="shared" si="13"/>
        <v>2.0000000000000018E-2</v>
      </c>
    </row>
    <row r="18" spans="1:21">
      <c r="A18" s="27" t="s">
        <v>36</v>
      </c>
      <c r="B18" s="28"/>
      <c r="C18" s="28"/>
      <c r="D18" s="29"/>
      <c r="E18" s="29"/>
      <c r="F18" s="30"/>
      <c r="G18" s="29"/>
      <c r="H18" s="29"/>
      <c r="I18" s="29"/>
      <c r="J18" s="29"/>
      <c r="K18" s="29"/>
      <c r="L18" s="29"/>
      <c r="M18" s="31" t="s">
        <v>37</v>
      </c>
      <c r="N18" s="32"/>
    </row>
    <row r="19" spans="1:21">
      <c r="A19" s="10" t="s">
        <v>38</v>
      </c>
      <c r="B19" s="17">
        <v>153.15</v>
      </c>
      <c r="C19" s="17">
        <v>2851.07</v>
      </c>
      <c r="D19" s="14">
        <v>2200</v>
      </c>
      <c r="E19" s="14">
        <v>2200</v>
      </c>
      <c r="F19" s="15">
        <v>2200</v>
      </c>
      <c r="G19" s="14">
        <v>2200</v>
      </c>
      <c r="H19" s="14">
        <v>2200</v>
      </c>
      <c r="I19" s="14">
        <v>2200</v>
      </c>
      <c r="J19" s="14">
        <v>2200</v>
      </c>
      <c r="K19" s="14">
        <v>2200</v>
      </c>
      <c r="L19" s="14">
        <v>2200</v>
      </c>
      <c r="M19" s="33" t="s">
        <v>39</v>
      </c>
    </row>
    <row r="20" spans="1:21">
      <c r="A20" s="34" t="s">
        <v>40</v>
      </c>
      <c r="B20" s="35">
        <f t="shared" ref="B20:G20" si="15">B2-B13</f>
        <v>1130439.6999999993</v>
      </c>
      <c r="C20" s="36">
        <f t="shared" si="15"/>
        <v>1298107.7800000012</v>
      </c>
      <c r="D20" s="36">
        <f t="shared" si="15"/>
        <v>1038363.0299999975</v>
      </c>
      <c r="E20" s="36">
        <f t="shared" si="15"/>
        <v>1119953.7027999982</v>
      </c>
      <c r="F20" s="35">
        <f t="shared" si="15"/>
        <v>1089814.6960879974</v>
      </c>
      <c r="G20" s="36">
        <f t="shared" si="15"/>
        <v>1241274.6841812804</v>
      </c>
      <c r="H20" s="36">
        <f>H2-H13</f>
        <v>1411318.9271919988</v>
      </c>
      <c r="I20" s="36">
        <f>I2-I13</f>
        <v>1601225.1880629919</v>
      </c>
      <c r="J20" s="36">
        <f>J2-J13</f>
        <v>1812341.5057401881</v>
      </c>
      <c r="K20" s="36">
        <f>K2-K13</f>
        <v>2046099.5405613855</v>
      </c>
      <c r="L20" s="36">
        <f>L2-L13</f>
        <v>2304013.1626927741</v>
      </c>
      <c r="M20" s="37" t="s">
        <v>41</v>
      </c>
      <c r="N20" s="25"/>
    </row>
    <row r="21" spans="1:21">
      <c r="A21" s="38" t="s">
        <v>42</v>
      </c>
      <c r="B21" s="35">
        <f t="shared" ref="B21:G21" si="16">B22+B23+B25+B26+B27+B28+B29+B30+B31+B32</f>
        <v>-2806139.4000000004</v>
      </c>
      <c r="C21" s="35">
        <f>C22+C23+C25+C26+C27+C28+C29+C30+C31+C32</f>
        <v>-696288.18</v>
      </c>
      <c r="D21" s="35">
        <f>D22+D23+D25+D26+D27+D28+D29+D30+D31+D32</f>
        <v>-426021.96</v>
      </c>
      <c r="E21" s="35">
        <f t="shared" si="16"/>
        <v>-441192.71</v>
      </c>
      <c r="F21" s="35">
        <f t="shared" si="16"/>
        <v>-292410.76</v>
      </c>
      <c r="G21" s="36">
        <f t="shared" si="16"/>
        <v>-255359.25</v>
      </c>
      <c r="H21" s="36">
        <f>H22+H23+H25+H26+H27+H28+H29+H30+H31+H32</f>
        <v>-347560.29</v>
      </c>
      <c r="I21" s="36">
        <f>I22+I23+I25+I26+I27+I28+I29+I30+I31+I32</f>
        <v>-3660492.84</v>
      </c>
      <c r="J21" s="36">
        <f>J22+J23+J25+J26+J27+J28+J29+J30+J31+J32</f>
        <v>-564327.91</v>
      </c>
      <c r="K21" s="36">
        <f>K22+K23+K25+K26+K27+K28+K29+K30+K31+K32</f>
        <v>-807101.14</v>
      </c>
      <c r="L21" s="36">
        <f>L22+L23+L25+L26+L27+L28+L29+L30+L31+L32</f>
        <v>-204550.03</v>
      </c>
    </row>
    <row r="22" spans="1:21" ht="12.75" customHeight="1">
      <c r="A22" s="39" t="s">
        <v>43</v>
      </c>
      <c r="B22" s="17">
        <v>3944.2</v>
      </c>
      <c r="C22" s="17">
        <v>18024.72</v>
      </c>
      <c r="D22" s="14">
        <v>725000</v>
      </c>
      <c r="E22" s="14"/>
      <c r="F22" s="15"/>
      <c r="G22" s="14"/>
      <c r="H22" s="14"/>
      <c r="I22" s="14"/>
      <c r="J22" s="14"/>
      <c r="K22" s="14"/>
      <c r="L22" s="14"/>
      <c r="M22" s="40"/>
      <c r="N22" s="40"/>
    </row>
    <row r="23" spans="1:21" ht="12.75" customHeight="1">
      <c r="A23" s="39" t="s">
        <v>44</v>
      </c>
      <c r="B23" s="17">
        <v>-4277845.03</v>
      </c>
      <c r="C23" s="120">
        <v>-730987.12</v>
      </c>
      <c r="D23" s="119">
        <f t="shared" ref="D23:K23" si="17">-D88</f>
        <v>-935185</v>
      </c>
      <c r="E23" s="119">
        <f t="shared" si="17"/>
        <v>-110000</v>
      </c>
      <c r="F23" s="121">
        <f t="shared" si="17"/>
        <v>0</v>
      </c>
      <c r="G23" s="119">
        <f t="shared" si="17"/>
        <v>0</v>
      </c>
      <c r="H23" s="119">
        <f t="shared" si="17"/>
        <v>-130000</v>
      </c>
      <c r="I23" s="119">
        <f t="shared" si="17"/>
        <v>-8280000</v>
      </c>
      <c r="J23" s="119">
        <f t="shared" si="17"/>
        <v>-270000</v>
      </c>
      <c r="K23" s="119">
        <f t="shared" si="17"/>
        <v>-560000</v>
      </c>
      <c r="L23" s="119"/>
      <c r="M23" s="19" t="s">
        <v>45</v>
      </c>
    </row>
    <row r="24" spans="1:21">
      <c r="A24" s="42" t="s">
        <v>46</v>
      </c>
      <c r="B24" s="17">
        <f>-(-B23-B25)</f>
        <v>-2621793.6900000004</v>
      </c>
      <c r="C24" s="119">
        <f t="shared" ref="C24:H24" si="18">-C90</f>
        <v>-730987.39</v>
      </c>
      <c r="D24" s="119">
        <f t="shared" si="18"/>
        <v>-734785</v>
      </c>
      <c r="E24" s="119">
        <f t="shared" si="18"/>
        <v>-110000</v>
      </c>
      <c r="F24" s="121">
        <f t="shared" si="18"/>
        <v>0</v>
      </c>
      <c r="G24" s="119">
        <f t="shared" si="18"/>
        <v>0</v>
      </c>
      <c r="H24" s="119">
        <f t="shared" si="18"/>
        <v>-130000</v>
      </c>
      <c r="I24" s="119">
        <f>-I90</f>
        <v>-3480000</v>
      </c>
      <c r="J24" s="119">
        <f>-J90</f>
        <v>-270000</v>
      </c>
      <c r="K24" s="119">
        <f>-K90</f>
        <v>-560000</v>
      </c>
      <c r="L24" s="119"/>
      <c r="M24" s="19" t="s">
        <v>45</v>
      </c>
    </row>
    <row r="25" spans="1:21" ht="12.75" customHeight="1">
      <c r="A25" s="43" t="s">
        <v>47</v>
      </c>
      <c r="B25" s="17">
        <v>1656051.34</v>
      </c>
      <c r="C25" s="119">
        <v>272754.82</v>
      </c>
      <c r="D25" s="119">
        <f>D89</f>
        <v>200400</v>
      </c>
      <c r="E25" s="119">
        <f>E89+70000</f>
        <v>70000</v>
      </c>
      <c r="F25" s="121">
        <f t="shared" ref="F25:K25" si="19">F89+70000</f>
        <v>70000</v>
      </c>
      <c r="G25" s="119">
        <f t="shared" si="19"/>
        <v>70000</v>
      </c>
      <c r="H25" s="119">
        <f t="shared" si="19"/>
        <v>70000</v>
      </c>
      <c r="I25" s="119">
        <f t="shared" si="19"/>
        <v>4870000</v>
      </c>
      <c r="J25" s="119">
        <f t="shared" si="19"/>
        <v>70000</v>
      </c>
      <c r="K25" s="119">
        <f t="shared" si="19"/>
        <v>70000</v>
      </c>
      <c r="L25" s="119">
        <f>L89+70000</f>
        <v>70000</v>
      </c>
      <c r="M25" s="19" t="s">
        <v>48</v>
      </c>
      <c r="O25" s="19"/>
      <c r="R25" s="19" t="s">
        <v>49</v>
      </c>
    </row>
    <row r="26" spans="1:21" ht="12.75" customHeight="1">
      <c r="A26" s="39" t="s">
        <v>50</v>
      </c>
      <c r="B26" s="17">
        <v>-105803.33</v>
      </c>
      <c r="C26" s="120">
        <v>-147439.31</v>
      </c>
      <c r="D26" s="119">
        <v>-145006</v>
      </c>
      <c r="E26" s="119">
        <v>-145000</v>
      </c>
      <c r="F26" s="121">
        <v>-145000</v>
      </c>
      <c r="G26" s="119">
        <v>-145000</v>
      </c>
      <c r="H26" s="119">
        <v>-145000</v>
      </c>
      <c r="I26" s="119">
        <v>-145000</v>
      </c>
      <c r="J26" s="119">
        <v>-145000</v>
      </c>
      <c r="K26" s="119">
        <v>-145000</v>
      </c>
      <c r="L26" s="119">
        <v>-144999</v>
      </c>
      <c r="M26" s="45" t="s">
        <v>51</v>
      </c>
    </row>
    <row r="27" spans="1:21" ht="12.75" customHeight="1">
      <c r="A27" s="46" t="s">
        <v>52</v>
      </c>
      <c r="B27" s="17">
        <v>0</v>
      </c>
      <c r="C27" s="120">
        <v>0</v>
      </c>
      <c r="D27" s="119"/>
      <c r="E27" s="119"/>
      <c r="F27" s="121"/>
      <c r="G27" s="119"/>
      <c r="H27" s="119"/>
      <c r="I27" s="119"/>
      <c r="J27" s="119"/>
      <c r="K27" s="119"/>
      <c r="L27" s="119"/>
      <c r="M27" s="45"/>
      <c r="N27" s="47"/>
    </row>
    <row r="28" spans="1:21" ht="12.75" customHeight="1">
      <c r="A28" s="46" t="s">
        <v>53</v>
      </c>
      <c r="B28" s="17">
        <v>0</v>
      </c>
      <c r="C28" s="17">
        <v>-1000</v>
      </c>
      <c r="D28" s="14"/>
      <c r="E28" s="14"/>
      <c r="F28" s="15"/>
      <c r="G28" s="14"/>
      <c r="H28" s="14"/>
      <c r="I28" s="14"/>
      <c r="J28" s="14"/>
      <c r="K28" s="14"/>
      <c r="L28" s="14"/>
      <c r="M28" s="47"/>
    </row>
    <row r="29" spans="1:21" ht="12.75" customHeight="1">
      <c r="A29" s="48" t="s">
        <v>54</v>
      </c>
      <c r="B29" s="49">
        <v>0</v>
      </c>
      <c r="C29" s="49">
        <v>0</v>
      </c>
      <c r="D29" s="14"/>
      <c r="E29" s="14"/>
      <c r="F29" s="15"/>
      <c r="G29" s="14"/>
      <c r="H29" s="14"/>
      <c r="I29" s="14"/>
      <c r="J29" s="14"/>
      <c r="K29" s="14"/>
      <c r="L29" s="14"/>
    </row>
    <row r="30" spans="1:21" ht="12.75" customHeight="1">
      <c r="A30" s="46" t="s">
        <v>55</v>
      </c>
      <c r="B30" s="17">
        <v>0</v>
      </c>
      <c r="C30" s="17">
        <v>0</v>
      </c>
      <c r="D30" s="50"/>
      <c r="E30" s="14"/>
      <c r="F30" s="15"/>
      <c r="G30" s="14"/>
      <c r="H30" s="14"/>
      <c r="I30" s="14"/>
      <c r="J30" s="14"/>
      <c r="K30" s="14"/>
      <c r="L30" s="14"/>
      <c r="M30" t="s">
        <v>56</v>
      </c>
    </row>
    <row r="31" spans="1:21" ht="12.75" customHeight="1">
      <c r="A31" s="51" t="s">
        <v>57</v>
      </c>
      <c r="B31" s="52">
        <v>92.98</v>
      </c>
      <c r="C31" s="52">
        <v>258.94</v>
      </c>
      <c r="D31" s="14">
        <v>260</v>
      </c>
      <c r="E31" s="14">
        <v>260</v>
      </c>
      <c r="F31" s="15">
        <v>260</v>
      </c>
      <c r="G31" s="14">
        <v>260</v>
      </c>
      <c r="H31" s="14">
        <v>260</v>
      </c>
      <c r="I31" s="14">
        <v>260</v>
      </c>
      <c r="J31" s="14">
        <v>260</v>
      </c>
      <c r="K31" s="14">
        <v>260</v>
      </c>
      <c r="L31" s="14">
        <v>260</v>
      </c>
      <c r="M31" s="19" t="s">
        <v>58</v>
      </c>
    </row>
    <row r="32" spans="1:21">
      <c r="A32" s="53" t="s">
        <v>59</v>
      </c>
      <c r="B32" s="54">
        <v>-82579.56</v>
      </c>
      <c r="C32" s="54">
        <v>-107900.23</v>
      </c>
      <c r="D32" s="55">
        <v>-271490.96000000002</v>
      </c>
      <c r="E32" s="55">
        <v>-256452.71000000002</v>
      </c>
      <c r="F32" s="56">
        <v>-217670.76</v>
      </c>
      <c r="G32" s="55">
        <v>-180619.25</v>
      </c>
      <c r="H32" s="55">
        <v>-142820.28999999998</v>
      </c>
      <c r="I32" s="55">
        <v>-105752.84</v>
      </c>
      <c r="J32" s="124">
        <f>-69587.91+-150000</f>
        <v>-219587.91</v>
      </c>
      <c r="K32" s="124">
        <f>-34361.14+-138000</f>
        <v>-172361.14</v>
      </c>
      <c r="L32" s="124">
        <f>-4811.03+-125000</f>
        <v>-129811.03</v>
      </c>
    </row>
    <row r="33" spans="1:21">
      <c r="A33" s="57" t="s">
        <v>60</v>
      </c>
      <c r="B33" s="35">
        <f t="shared" ref="B33:G33" si="20">B20+B21</f>
        <v>-1675699.7000000011</v>
      </c>
      <c r="C33" s="36">
        <f t="shared" si="20"/>
        <v>601819.60000000114</v>
      </c>
      <c r="D33" s="36">
        <f>D20+D21</f>
        <v>612341.0699999975</v>
      </c>
      <c r="E33" s="36">
        <f t="shared" si="20"/>
        <v>678760.99279999826</v>
      </c>
      <c r="F33" s="35">
        <f t="shared" si="20"/>
        <v>797403.9360879974</v>
      </c>
      <c r="G33" s="36">
        <f t="shared" si="20"/>
        <v>985915.43418128043</v>
      </c>
      <c r="H33" s="36">
        <f>H20+H21</f>
        <v>1063758.6371919988</v>
      </c>
      <c r="I33" s="36">
        <f>I20+I21</f>
        <v>-2059267.6519370079</v>
      </c>
      <c r="J33" s="36">
        <f>J20+J21</f>
        <v>1248013.5957401879</v>
      </c>
      <c r="K33" s="36">
        <f>K20+K21</f>
        <v>1238998.4005613853</v>
      </c>
      <c r="L33" s="36">
        <f>L20+L21</f>
        <v>2099463.1326927743</v>
      </c>
      <c r="M33" s="33"/>
    </row>
    <row r="34" spans="1:21">
      <c r="A34" s="57" t="s">
        <v>61</v>
      </c>
      <c r="B34" s="35">
        <f t="shared" ref="B34:G34" si="21">B35+B36</f>
        <v>1248874.54</v>
      </c>
      <c r="C34" s="36">
        <f t="shared" si="21"/>
        <v>-265578.07999999996</v>
      </c>
      <c r="D34" s="36">
        <f t="shared" si="21"/>
        <v>-950163.56000000017</v>
      </c>
      <c r="E34" s="36">
        <f t="shared" si="21"/>
        <v>-1045796.8100000002</v>
      </c>
      <c r="F34" s="35">
        <f t="shared" si="21"/>
        <v>-1018453.29</v>
      </c>
      <c r="G34" s="36">
        <f t="shared" si="21"/>
        <v>-1014948.4</v>
      </c>
      <c r="H34" s="36">
        <f>H35+H36</f>
        <v>-1036771.34</v>
      </c>
      <c r="I34" s="36">
        <f>I35+I36</f>
        <v>2031685.14</v>
      </c>
      <c r="J34" s="36">
        <f>J35+J36</f>
        <v>-1241245.47</v>
      </c>
      <c r="K34" s="36">
        <f>K35+K36</f>
        <v>-1242955.9300000002</v>
      </c>
      <c r="L34" s="36">
        <f>L35+L36</f>
        <v>-615687.43999999994</v>
      </c>
    </row>
    <row r="35" spans="1:21">
      <c r="A35" s="58" t="s">
        <v>62</v>
      </c>
      <c r="B35" s="17">
        <v>2000000</v>
      </c>
      <c r="C35" s="17">
        <v>630000</v>
      </c>
      <c r="D35" s="14"/>
      <c r="E35" s="14"/>
      <c r="F35" s="15"/>
      <c r="G35" s="14"/>
      <c r="H35" s="14"/>
      <c r="I35" s="14">
        <v>3000000</v>
      </c>
      <c r="J35" s="14"/>
      <c r="K35" s="14"/>
      <c r="L35" s="14"/>
      <c r="M35" s="33" t="s">
        <v>63</v>
      </c>
      <c r="N35" s="33"/>
      <c r="O35" s="33"/>
    </row>
    <row r="36" spans="1:21">
      <c r="A36" s="59" t="s">
        <v>64</v>
      </c>
      <c r="B36" s="54">
        <v>-751125.46</v>
      </c>
      <c r="C36" s="54">
        <v>-895578.08</v>
      </c>
      <c r="D36" s="55">
        <v>-950163.56000000017</v>
      </c>
      <c r="E36" s="55">
        <v>-1045796.8100000002</v>
      </c>
      <c r="F36" s="56">
        <v>-1018453.29</v>
      </c>
      <c r="G36" s="55">
        <v>-1014948.4</v>
      </c>
      <c r="H36" s="55">
        <v>-1036771.34</v>
      </c>
      <c r="I36" s="55">
        <v>-968314.8600000001</v>
      </c>
      <c r="J36" s="55">
        <f>-1003245.47+-238000</f>
        <v>-1241245.47</v>
      </c>
      <c r="K36" s="124">
        <f>-992955.93+-250000</f>
        <v>-1242955.9300000002</v>
      </c>
      <c r="L36" s="124">
        <f>-352687.44+-263000</f>
        <v>-615687.43999999994</v>
      </c>
      <c r="M36" s="19"/>
    </row>
    <row r="37" spans="1:21" ht="26.25">
      <c r="A37" s="60" t="s">
        <v>65</v>
      </c>
      <c r="B37" s="17">
        <v>-709207.52</v>
      </c>
      <c r="C37" s="41">
        <v>491612.29</v>
      </c>
      <c r="D37" s="44">
        <f t="shared" ref="D37:L37" si="22">D33+D34+D38</f>
        <v>-7439.4900000026682</v>
      </c>
      <c r="E37" s="44">
        <f t="shared" si="22"/>
        <v>-367035.81720000191</v>
      </c>
      <c r="F37" s="72">
        <f t="shared" si="22"/>
        <v>-221049.35391200264</v>
      </c>
      <c r="G37" s="44">
        <f t="shared" si="22"/>
        <v>-29032.965818719589</v>
      </c>
      <c r="H37" s="44">
        <f t="shared" si="22"/>
        <v>26987.297191998805</v>
      </c>
      <c r="I37" s="44">
        <f t="shared" si="22"/>
        <v>-27582.511937008006</v>
      </c>
      <c r="J37" s="44">
        <f t="shared" si="22"/>
        <v>6768.1257401879411</v>
      </c>
      <c r="K37" s="44">
        <f t="shared" si="22"/>
        <v>-3957.5294386148453</v>
      </c>
      <c r="L37" s="44">
        <f t="shared" si="22"/>
        <v>1483775.6926927743</v>
      </c>
      <c r="M37" s="33" t="s">
        <v>66</v>
      </c>
    </row>
    <row r="38" spans="1:21">
      <c r="A38" s="60" t="s">
        <v>67</v>
      </c>
      <c r="B38" s="17">
        <v>-282382.36</v>
      </c>
      <c r="C38" s="41">
        <v>155370.76999999999</v>
      </c>
      <c r="D38" s="122">
        <f t="shared" ref="D38:K38" si="23">D39+D40</f>
        <v>330383</v>
      </c>
      <c r="E38" s="122">
        <f t="shared" si="23"/>
        <v>0</v>
      </c>
      <c r="F38" s="123">
        <f t="shared" si="23"/>
        <v>0</v>
      </c>
      <c r="G38" s="122">
        <f t="shared" si="23"/>
        <v>0</v>
      </c>
      <c r="H38" s="122">
        <f t="shared" si="23"/>
        <v>0</v>
      </c>
      <c r="I38" s="122">
        <f t="shared" si="23"/>
        <v>0</v>
      </c>
      <c r="J38" s="122">
        <f t="shared" si="23"/>
        <v>0</v>
      </c>
      <c r="K38" s="122">
        <f t="shared" si="23"/>
        <v>0</v>
      </c>
      <c r="L38" s="122"/>
      <c r="M38" t="s">
        <v>68</v>
      </c>
    </row>
    <row r="39" spans="1:21">
      <c r="A39" s="61" t="s">
        <v>69</v>
      </c>
      <c r="B39" s="17"/>
      <c r="C39" s="17"/>
      <c r="D39" s="62">
        <v>330383</v>
      </c>
      <c r="E39" s="62"/>
      <c r="F39" s="63"/>
      <c r="G39" s="64"/>
      <c r="H39" s="64"/>
      <c r="I39" s="64"/>
      <c r="J39" s="64"/>
      <c r="K39" s="64"/>
      <c r="L39" s="64"/>
      <c r="M39" t="s">
        <v>70</v>
      </c>
    </row>
    <row r="40" spans="1:21">
      <c r="A40" s="65" t="s">
        <v>71</v>
      </c>
      <c r="B40" s="66"/>
      <c r="C40" s="66"/>
      <c r="D40" s="14"/>
      <c r="E40" s="14"/>
      <c r="F40" s="15"/>
      <c r="G40" s="14"/>
      <c r="H40" s="14"/>
      <c r="I40" s="14"/>
      <c r="J40" s="14"/>
      <c r="K40" s="14"/>
      <c r="L40" s="14"/>
      <c r="M40" s="67" t="s">
        <v>72</v>
      </c>
      <c r="N40" s="67"/>
      <c r="O40" s="68"/>
      <c r="P40" s="68"/>
      <c r="Q40" s="68"/>
      <c r="R40" s="68"/>
    </row>
    <row r="41" spans="1:21" s="19" customFormat="1" ht="13.5" customHeight="1">
      <c r="A41" s="69" t="s">
        <v>73</v>
      </c>
      <c r="B41" s="125">
        <v>133908.9</v>
      </c>
      <c r="C41" s="126">
        <f t="shared" ref="C41:I41" si="24">B41+C37</f>
        <v>625521.18999999994</v>
      </c>
      <c r="D41" s="126">
        <f t="shared" si="24"/>
        <v>618081.69999999728</v>
      </c>
      <c r="E41" s="126">
        <f t="shared" si="24"/>
        <v>251045.88279999536</v>
      </c>
      <c r="F41" s="127">
        <f t="shared" si="24"/>
        <v>29996.528887992725</v>
      </c>
      <c r="G41" s="126">
        <f t="shared" si="24"/>
        <v>963.56306927313562</v>
      </c>
      <c r="H41" s="126">
        <f t="shared" si="24"/>
        <v>27950.860261271941</v>
      </c>
      <c r="I41" s="126">
        <f t="shared" si="24"/>
        <v>368.34832426393405</v>
      </c>
      <c r="J41" s="126">
        <f>I41+J37</f>
        <v>7136.4740644518752</v>
      </c>
      <c r="K41" s="126">
        <f>J41+K37</f>
        <v>3178.9446258370299</v>
      </c>
      <c r="L41" s="126">
        <f>K41+L37</f>
        <v>1486954.6373186114</v>
      </c>
      <c r="M41" s="37" t="s">
        <v>74</v>
      </c>
      <c r="N41" s="70"/>
    </row>
    <row r="42" spans="1:21">
      <c r="A42" s="60" t="s">
        <v>75</v>
      </c>
      <c r="B42" s="71">
        <v>8983364.6199999992</v>
      </c>
      <c r="C42" s="44">
        <f t="shared" ref="C42:I42" si="25">B42+C34+C43-B43</f>
        <v>8717786.5399999991</v>
      </c>
      <c r="D42" s="44">
        <f t="shared" si="25"/>
        <v>7767622.9799999986</v>
      </c>
      <c r="E42" s="44">
        <f t="shared" si="25"/>
        <v>6721826.1699999981</v>
      </c>
      <c r="F42" s="72">
        <f t="shared" si="25"/>
        <v>5703372.879999998</v>
      </c>
      <c r="G42" s="44">
        <f t="shared" si="25"/>
        <v>4688424.4799999977</v>
      </c>
      <c r="H42" s="44">
        <f t="shared" si="25"/>
        <v>3651653.1399999978</v>
      </c>
      <c r="I42" s="44">
        <f t="shared" si="25"/>
        <v>5683338.2799999975</v>
      </c>
      <c r="J42" s="44">
        <f>I42+J34+J43-I43</f>
        <v>4442092.8099999977</v>
      </c>
      <c r="K42" s="44">
        <f>J42+K34+K43-J43</f>
        <v>3199136.8799999976</v>
      </c>
      <c r="L42" s="44">
        <f>K42+L34+L43-K43</f>
        <v>2583449.4399999976</v>
      </c>
      <c r="M42" s="33"/>
    </row>
    <row r="43" spans="1:21" ht="34.5" customHeight="1">
      <c r="A43" s="73" t="s">
        <v>76</v>
      </c>
      <c r="B43" s="120"/>
      <c r="C43" s="120"/>
      <c r="D43" s="119"/>
      <c r="E43" s="119"/>
      <c r="F43" s="121"/>
      <c r="G43" s="119"/>
      <c r="H43" s="119"/>
      <c r="I43" s="119"/>
      <c r="J43" s="119"/>
      <c r="K43" s="119"/>
      <c r="L43" s="119"/>
    </row>
    <row r="44" spans="1:21" ht="23.25">
      <c r="A44" s="73" t="s">
        <v>77</v>
      </c>
      <c r="B44" s="74">
        <v>0</v>
      </c>
      <c r="C44" s="74">
        <v>0</v>
      </c>
      <c r="D44" s="14"/>
      <c r="E44" s="14"/>
      <c r="F44" s="15"/>
      <c r="G44" s="14"/>
      <c r="H44" s="14"/>
      <c r="I44" s="14"/>
      <c r="J44" s="14"/>
      <c r="K44" s="14"/>
      <c r="L44" s="14"/>
      <c r="M44" s="19"/>
    </row>
    <row r="45" spans="1:21">
      <c r="A45" s="75" t="s">
        <v>78</v>
      </c>
      <c r="B45" s="18">
        <f t="shared" ref="B45:G45" si="26">IF(B42-B41&lt;0,0,B42-B41)</f>
        <v>8849455.7199999988</v>
      </c>
      <c r="C45" s="18">
        <f>IF(C42-C41&lt;0,0,C42-C41)</f>
        <v>8092265.3499999996</v>
      </c>
      <c r="D45" s="18">
        <f t="shared" si="26"/>
        <v>7149541.2800000012</v>
      </c>
      <c r="E45" s="18">
        <f t="shared" si="26"/>
        <v>6470780.2872000029</v>
      </c>
      <c r="F45" s="18">
        <f t="shared" si="26"/>
        <v>5673376.3511120053</v>
      </c>
      <c r="G45" s="11">
        <f t="shared" si="26"/>
        <v>4687460.9169307249</v>
      </c>
      <c r="H45" s="11">
        <f>IF(H42-H41&lt;0,0,H42-H41)</f>
        <v>3623702.2797387261</v>
      </c>
      <c r="I45" s="11">
        <f>IF(I42-I41&lt;0,0,I42-I41)</f>
        <v>5682969.931675734</v>
      </c>
      <c r="J45" s="11">
        <f>IF(J42-J41&lt;0,0,J42-J41)</f>
        <v>4434956.3359355461</v>
      </c>
      <c r="K45" s="11">
        <f>IF(K42-K41&lt;0,0,K42-K41)</f>
        <v>3195957.9353741603</v>
      </c>
      <c r="L45" s="11">
        <f>IF(L42-L41&lt;0,0,L42-L41)</f>
        <v>1096494.8026813862</v>
      </c>
      <c r="M45" s="33"/>
    </row>
    <row r="46" spans="1:21">
      <c r="A46" s="75" t="s">
        <v>79</v>
      </c>
      <c r="B46" s="76">
        <f t="shared" ref="B46:G46" si="27">B45/B2</f>
        <v>0.61556621114805754</v>
      </c>
      <c r="C46" s="77">
        <f>C45/C2</f>
        <v>0.50680359607396686</v>
      </c>
      <c r="D46" s="77">
        <f t="shared" si="27"/>
        <v>0.41518998581032329</v>
      </c>
      <c r="E46" s="77">
        <f t="shared" si="27"/>
        <v>0.35422028105312198</v>
      </c>
      <c r="F46" s="76">
        <f t="shared" si="27"/>
        <v>0.30111764229772769</v>
      </c>
      <c r="G46" s="77">
        <f t="shared" si="27"/>
        <v>0.24146178463442025</v>
      </c>
      <c r="H46" s="77">
        <f>H45/H2</f>
        <v>0.18105133039524907</v>
      </c>
      <c r="I46" s="77">
        <f>I45/I2</f>
        <v>0.27522490860216292</v>
      </c>
      <c r="J46" s="77">
        <f>J45/J2</f>
        <v>0.2080618293442435</v>
      </c>
      <c r="K46" s="77">
        <f>K45/K2</f>
        <v>0.1451527848783134</v>
      </c>
      <c r="L46" s="77">
        <f>L45/L2</f>
        <v>4.818214212382204E-2</v>
      </c>
    </row>
    <row r="47" spans="1:21">
      <c r="A47" s="75" t="s">
        <v>80</v>
      </c>
      <c r="B47" s="18">
        <f>IF((B20+B18)*10&gt;B2,B2+B44,IF((B20+B18)*10&lt;0.8*B2,0.8*B2+B44,(B20+B18)*10+B44))</f>
        <v>11500898.600000001</v>
      </c>
      <c r="C47" s="18">
        <f>IF((C20+C18)*10&gt;C2,C2+C44,IF((C20+C18)*10&lt;0.8*C2,0.8*C2+C44,(C20+C18)*10+C44))</f>
        <v>12981077.800000012</v>
      </c>
      <c r="D47" s="18">
        <f>IF((D20+D18)*10&gt;D2,D2+D44,IF((D20+D18)*10&lt;0.8*D2,0.8*D2+D44,(D20+D18)*10+D44))</f>
        <v>13775941.663999999</v>
      </c>
      <c r="E47" s="18">
        <f>IF((E20+E18)*10&gt;E2,E2+E44,IF((E20+E18)*10&lt;0.8*E2,0.8*E2+E44,(E20+E18)*10+E44))</f>
        <v>14614138.451840002</v>
      </c>
      <c r="F47" s="18">
        <f>IF((F20+F18)*9&gt;F2,F2+F44,IF((F20+F18)*9&lt;0.75*F2,0.75*F2+F44,(F20+F18)*9+F44))</f>
        <v>14130796.956516001</v>
      </c>
      <c r="G47" s="11">
        <f t="shared" ref="G47:L47" si="28">IF((G20+G18)*8&gt;G2,G2+G44,IF((G20+G18)*8&lt;0.7*G2,0.7*G2+G44,(G20+G18)*8+G44))</f>
        <v>13588993.582646497</v>
      </c>
      <c r="H47" s="11">
        <f t="shared" si="28"/>
        <v>14010344.968355285</v>
      </c>
      <c r="I47" s="11">
        <f t="shared" si="28"/>
        <v>14453920.513144102</v>
      </c>
      <c r="J47" s="11">
        <f t="shared" si="28"/>
        <v>14920898.489354623</v>
      </c>
      <c r="K47" s="11">
        <f t="shared" si="28"/>
        <v>16368796.324491084</v>
      </c>
      <c r="L47" s="11">
        <f t="shared" si="28"/>
        <v>18432105.301542193</v>
      </c>
      <c r="M47" s="70" t="s">
        <v>81</v>
      </c>
      <c r="N47" s="25"/>
      <c r="O47" s="25"/>
    </row>
    <row r="48" spans="1:21" ht="13.5" customHeight="1">
      <c r="A48" s="75" t="s">
        <v>82</v>
      </c>
      <c r="B48" s="77">
        <f t="shared" ref="B48:G48" si="29">B47/B2</f>
        <v>0.80000000000000016</v>
      </c>
      <c r="C48" s="77">
        <f t="shared" si="29"/>
        <v>0.81298086820100923</v>
      </c>
      <c r="D48" s="77">
        <f t="shared" si="29"/>
        <v>0.8</v>
      </c>
      <c r="E48" s="77">
        <f t="shared" si="29"/>
        <v>0.8</v>
      </c>
      <c r="F48" s="76">
        <f t="shared" si="29"/>
        <v>0.75</v>
      </c>
      <c r="G48" s="77">
        <f t="shared" si="29"/>
        <v>0.7</v>
      </c>
      <c r="H48" s="77">
        <f>H47/H2</f>
        <v>0.7</v>
      </c>
      <c r="I48" s="77">
        <f>I47/I2</f>
        <v>0.7</v>
      </c>
      <c r="J48" s="77">
        <f>J47/J2</f>
        <v>0.7</v>
      </c>
      <c r="K48" s="77">
        <f>K47/K2</f>
        <v>0.74343167827946366</v>
      </c>
      <c r="L48" s="77">
        <f>L47/L2</f>
        <v>0.80994302490845327</v>
      </c>
      <c r="M48" s="33"/>
      <c r="N48" s="33"/>
      <c r="O48" s="33"/>
      <c r="P48" s="33"/>
      <c r="Q48" s="33"/>
      <c r="R48" s="33"/>
      <c r="S48" s="33"/>
      <c r="T48" s="33"/>
      <c r="U48" s="33"/>
    </row>
    <row r="49" spans="1:18">
      <c r="A49" s="75" t="s">
        <v>83</v>
      </c>
      <c r="B49" s="11">
        <f t="shared" ref="B49:G49" si="30">B47-B45</f>
        <v>2651442.8800000027</v>
      </c>
      <c r="C49" s="11">
        <f t="shared" si="30"/>
        <v>4888812.4500000123</v>
      </c>
      <c r="D49" s="11">
        <f t="shared" si="30"/>
        <v>6626400.3839999977</v>
      </c>
      <c r="E49" s="11">
        <f t="shared" si="30"/>
        <v>8143358.1646399992</v>
      </c>
      <c r="F49" s="18">
        <f t="shared" si="30"/>
        <v>8457420.605403997</v>
      </c>
      <c r="G49" s="11">
        <f t="shared" si="30"/>
        <v>8901532.6657157727</v>
      </c>
      <c r="H49" s="11">
        <f>H47-H45</f>
        <v>10386642.688616559</v>
      </c>
      <c r="I49" s="11">
        <f>I47-I45</f>
        <v>8770950.5814683679</v>
      </c>
      <c r="J49" s="11">
        <f>J47-J45</f>
        <v>10485942.153419077</v>
      </c>
      <c r="K49" s="11">
        <f>K47-K45</f>
        <v>13172838.389116924</v>
      </c>
      <c r="L49" s="11">
        <f>L47-L45</f>
        <v>17335610.498860806</v>
      </c>
      <c r="M49" s="33"/>
      <c r="N49" s="33"/>
      <c r="O49" s="33"/>
    </row>
    <row r="50" spans="1:18">
      <c r="A50" s="78"/>
      <c r="B50" s="79"/>
      <c r="C50" s="80"/>
      <c r="D50" s="80"/>
      <c r="E50" s="80"/>
      <c r="F50" s="81"/>
      <c r="G50" s="80"/>
      <c r="H50" s="80"/>
      <c r="I50" s="80"/>
      <c r="J50" s="80"/>
      <c r="K50" s="80"/>
      <c r="L50" s="80"/>
    </row>
    <row r="51" spans="1:18" s="33" customFormat="1" ht="13.5" thickBot="1">
      <c r="A51" s="82" t="s">
        <v>84</v>
      </c>
      <c r="B51" s="83">
        <f t="shared" ref="B51:G51" si="31">B33+B34-B37+B38</f>
        <v>-1.0477378964424133E-9</v>
      </c>
      <c r="C51" s="83">
        <f>C33+C34-C37+C38</f>
        <v>1.1932570487260818E-9</v>
      </c>
      <c r="D51" s="83">
        <f>D33+D34-D37+D38</f>
        <v>0</v>
      </c>
      <c r="E51" s="83">
        <f t="shared" si="31"/>
        <v>0</v>
      </c>
      <c r="F51" s="84">
        <f t="shared" si="31"/>
        <v>0</v>
      </c>
      <c r="G51" s="85">
        <f t="shared" si="31"/>
        <v>0</v>
      </c>
      <c r="H51" s="85">
        <f>H33+H34-H37+H38</f>
        <v>0</v>
      </c>
      <c r="I51" s="85">
        <f>I33+I34-I37+I38</f>
        <v>0</v>
      </c>
      <c r="J51" s="85">
        <f>J33+J34-J37+J38</f>
        <v>0</v>
      </c>
      <c r="K51" s="85">
        <f>K33+K34-K37+K38</f>
        <v>0</v>
      </c>
      <c r="L51" s="85">
        <f>L33+L34-L37+L38</f>
        <v>0</v>
      </c>
      <c r="M51" s="33" t="s">
        <v>85</v>
      </c>
      <c r="N51" s="86"/>
    </row>
    <row r="52" spans="1:18" s="91" customFormat="1" ht="11.25">
      <c r="A52" s="87" t="s">
        <v>86</v>
      </c>
      <c r="B52" s="88" t="str">
        <f t="shared" ref="B52:G52" si="32">IF((-B24-B26-B28-B30)&lt;B35,"FALSE","OK")</f>
        <v>OK</v>
      </c>
      <c r="C52" s="88" t="str">
        <f t="shared" si="32"/>
        <v>OK</v>
      </c>
      <c r="D52" s="88" t="str">
        <f t="shared" si="32"/>
        <v>OK</v>
      </c>
      <c r="E52" s="88" t="str">
        <f t="shared" si="32"/>
        <v>OK</v>
      </c>
      <c r="F52" s="88" t="str">
        <f t="shared" si="32"/>
        <v>OK</v>
      </c>
      <c r="G52" s="89" t="str">
        <f t="shared" si="32"/>
        <v>OK</v>
      </c>
      <c r="H52" s="89" t="str">
        <f>IF((-H24-H26-H28-H30)&lt;H35,"FALSE","OK")</f>
        <v>OK</v>
      </c>
      <c r="I52" s="89" t="str">
        <f>IF((-I24-I26-I28-I30)&lt;I35,"FALSE","OK")</f>
        <v>OK</v>
      </c>
      <c r="J52" s="89" t="str">
        <f>IF((-J24-J26-J28-J30)&lt;J35,"FALSE","OK")</f>
        <v>OK</v>
      </c>
      <c r="K52" s="89" t="str">
        <f>IF((-K24-K26-K28-K30)&lt;K35,"FALSE","OK")</f>
        <v>OK</v>
      </c>
      <c r="L52" s="89" t="str">
        <f>IF((-L24-L26-L28-L30)&lt;L35,"FALSE","OK")</f>
        <v>OK</v>
      </c>
      <c r="M52" s="90" t="s">
        <v>87</v>
      </c>
    </row>
    <row r="53" spans="1:18">
      <c r="A53" s="92" t="s">
        <v>88</v>
      </c>
      <c r="B53" s="93" t="s">
        <v>89</v>
      </c>
      <c r="C53" s="94">
        <f t="shared" ref="C53:I53" si="33">C2/B2-1</f>
        <v>0.11067920275377441</v>
      </c>
      <c r="D53" s="94">
        <f t="shared" si="33"/>
        <v>7.8452150395127873E-2</v>
      </c>
      <c r="E53" s="94">
        <f t="shared" si="33"/>
        <v>6.0844972219243676E-2</v>
      </c>
      <c r="F53" s="95">
        <f t="shared" si="33"/>
        <v>3.1388209207272588E-2</v>
      </c>
      <c r="G53" s="94">
        <f t="shared" si="33"/>
        <v>3.0347830077143145E-2</v>
      </c>
      <c r="H53" s="94">
        <f t="shared" si="33"/>
        <v>3.1006813208512174E-2</v>
      </c>
      <c r="I53" s="94">
        <f t="shared" si="33"/>
        <v>3.1660572654756525E-2</v>
      </c>
      <c r="J53" s="94">
        <f>J2/I2-1</f>
        <v>3.2308049278800155E-2</v>
      </c>
      <c r="K53" s="94">
        <f>K2/J2-1</f>
        <v>3.2948683023679814E-2</v>
      </c>
      <c r="L53" s="94">
        <f>L2/K2-1</f>
        <v>3.3581651879895924E-2</v>
      </c>
    </row>
    <row r="54" spans="1:18">
      <c r="A54" s="92" t="s">
        <v>90</v>
      </c>
      <c r="B54" s="93" t="s">
        <v>89</v>
      </c>
      <c r="C54" s="94">
        <f t="shared" ref="C54:I54" si="34">C13/B13-1</f>
        <v>0.10746669091305594</v>
      </c>
      <c r="D54" s="94">
        <f t="shared" si="34"/>
        <v>0.10310143237148917</v>
      </c>
      <c r="E54" s="94">
        <f t="shared" si="34"/>
        <v>5.9707164833673998E-2</v>
      </c>
      <c r="F54" s="95">
        <f t="shared" si="34"/>
        <v>3.5195849538886215E-2</v>
      </c>
      <c r="G54" s="94">
        <f t="shared" si="34"/>
        <v>2.3678638284897469E-2</v>
      </c>
      <c r="H54" s="94">
        <f t="shared" si="34"/>
        <v>2.3767138985983038E-2</v>
      </c>
      <c r="I54" s="94">
        <f t="shared" si="34"/>
        <v>2.3854331312142429E-2</v>
      </c>
      <c r="J54" s="94">
        <f>J13/I13-1</f>
        <v>2.3940227138610215E-2</v>
      </c>
      <c r="K54" s="94">
        <f>K13/J13-1</f>
        <v>2.402483866739713E-2</v>
      </c>
      <c r="L54" s="94">
        <f>L13/K13-1</f>
        <v>2.4108178404592451E-2</v>
      </c>
    </row>
    <row r="55" spans="1:18">
      <c r="A55" s="92" t="s">
        <v>91</v>
      </c>
      <c r="B55" s="96">
        <f t="shared" ref="B55:G55" si="35">B2/B13</f>
        <v>1.0853440062744062</v>
      </c>
      <c r="C55" s="96">
        <f t="shared" si="35"/>
        <v>1.088492345181588</v>
      </c>
      <c r="D55" s="96">
        <f t="shared" si="35"/>
        <v>1.064169509621661</v>
      </c>
      <c r="E55" s="96">
        <f t="shared" si="35"/>
        <v>1.0653121082259986</v>
      </c>
      <c r="F55" s="97">
        <f t="shared" si="35"/>
        <v>1.061393694767478</v>
      </c>
      <c r="G55" s="96">
        <f t="shared" si="35"/>
        <v>1.0683085974065958</v>
      </c>
      <c r="H55" s="96">
        <f>H2/H13</f>
        <v>1.0758632511162385</v>
      </c>
      <c r="I55" s="96">
        <f>I2/I13</f>
        <v>1.0840660275591527</v>
      </c>
      <c r="J55" s="96">
        <f>J2/J13</f>
        <v>1.0929252084628922</v>
      </c>
      <c r="K55" s="96">
        <f>K2/K13</f>
        <v>1.1024494837393326</v>
      </c>
      <c r="L55" s="96">
        <f>L2/L13</f>
        <v>1.1126476504587282</v>
      </c>
    </row>
    <row r="56" spans="1:18" ht="25.5" customHeight="1" thickBot="1"/>
    <row r="57" spans="1:18" ht="42.75" customHeight="1" thickBot="1">
      <c r="A57" s="98" t="s">
        <v>92</v>
      </c>
      <c r="B57" s="2"/>
      <c r="C57" s="2" t="s">
        <v>2</v>
      </c>
      <c r="D57" s="2" t="s">
        <v>3</v>
      </c>
      <c r="E57" s="2" t="s">
        <v>4</v>
      </c>
      <c r="F57" s="2" t="s">
        <v>5</v>
      </c>
      <c r="G57" s="2" t="s">
        <v>6</v>
      </c>
      <c r="H57" s="2" t="s">
        <v>7</v>
      </c>
      <c r="I57" s="2" t="s">
        <v>8</v>
      </c>
      <c r="J57" s="2" t="s">
        <v>9</v>
      </c>
      <c r="K57" s="2" t="s">
        <v>10</v>
      </c>
      <c r="L57" s="2" t="s">
        <v>93</v>
      </c>
      <c r="M57" s="128" t="s">
        <v>94</v>
      </c>
      <c r="N57" s="129"/>
      <c r="O57" s="129"/>
      <c r="P57" s="129"/>
      <c r="Q57" s="129"/>
      <c r="R57" s="129"/>
    </row>
    <row r="58" spans="1:18">
      <c r="A58" s="99" t="s">
        <v>95</v>
      </c>
      <c r="B58" s="100"/>
      <c r="C58" s="100">
        <f t="shared" ref="C58:H58" si="36">SUM(C59:C60)</f>
        <v>0</v>
      </c>
      <c r="D58" s="100">
        <f t="shared" si="36"/>
        <v>0</v>
      </c>
      <c r="E58" s="100">
        <f t="shared" si="36"/>
        <v>0</v>
      </c>
      <c r="F58" s="100">
        <f t="shared" si="36"/>
        <v>0</v>
      </c>
      <c r="G58" s="101">
        <f t="shared" si="36"/>
        <v>0</v>
      </c>
      <c r="H58" s="101">
        <f t="shared" si="36"/>
        <v>0</v>
      </c>
      <c r="I58" s="101">
        <f>SUM(I59:I60)</f>
        <v>0</v>
      </c>
      <c r="J58" s="101">
        <f>SUM(J59:J60)</f>
        <v>0</v>
      </c>
      <c r="K58" s="101">
        <f>SUM(K59:K60)</f>
        <v>0</v>
      </c>
      <c r="L58" s="101">
        <f>SUM(L59:L60)</f>
        <v>0</v>
      </c>
      <c r="M58" s="37" t="s">
        <v>96</v>
      </c>
      <c r="N58" s="37"/>
      <c r="O58" s="25"/>
      <c r="P58" s="25"/>
    </row>
    <row r="59" spans="1:18">
      <c r="A59" s="102" t="s">
        <v>97</v>
      </c>
      <c r="B59" s="44"/>
      <c r="C59" s="14"/>
      <c r="D59" s="14"/>
      <c r="E59" s="14"/>
      <c r="F59" s="14"/>
      <c r="G59" s="103"/>
      <c r="H59" s="103"/>
      <c r="I59" s="103"/>
      <c r="J59" s="103"/>
      <c r="K59" s="103"/>
      <c r="L59" s="103"/>
      <c r="M59" s="33"/>
    </row>
    <row r="60" spans="1:18">
      <c r="A60" s="102" t="s">
        <v>98</v>
      </c>
      <c r="B60" s="44"/>
      <c r="C60" s="14"/>
      <c r="D60" s="14"/>
      <c r="E60" s="14">
        <v>0</v>
      </c>
      <c r="F60" s="14"/>
      <c r="G60" s="103"/>
      <c r="H60" s="103"/>
      <c r="I60" s="103"/>
      <c r="J60" s="103"/>
      <c r="K60" s="103"/>
      <c r="L60" s="103"/>
      <c r="M60" s="19" t="s">
        <v>99</v>
      </c>
    </row>
    <row r="61" spans="1:18" ht="14.1" customHeight="1">
      <c r="A61" s="99" t="s">
        <v>100</v>
      </c>
      <c r="B61" s="100"/>
      <c r="C61" s="100">
        <f t="shared" ref="C61:H61" si="37">SUM(C62:C63)</f>
        <v>0</v>
      </c>
      <c r="D61" s="100">
        <f t="shared" si="37"/>
        <v>0</v>
      </c>
      <c r="E61" s="100">
        <f t="shared" si="37"/>
        <v>0</v>
      </c>
      <c r="F61" s="100">
        <f t="shared" si="37"/>
        <v>0</v>
      </c>
      <c r="G61" s="101">
        <f t="shared" si="37"/>
        <v>0</v>
      </c>
      <c r="H61" s="101">
        <f t="shared" si="37"/>
        <v>0</v>
      </c>
      <c r="I61" s="101">
        <f>SUM(I62:I63)</f>
        <v>0</v>
      </c>
      <c r="J61" s="101">
        <f>SUM(J62:J63)</f>
        <v>0</v>
      </c>
      <c r="K61" s="101">
        <f>SUM(K62:K63)</f>
        <v>0</v>
      </c>
      <c r="L61" s="101">
        <f>SUM(L62:L63)</f>
        <v>0</v>
      </c>
    </row>
    <row r="62" spans="1:18" ht="14.1" customHeight="1">
      <c r="A62" s="102" t="s">
        <v>97</v>
      </c>
      <c r="B62" s="44"/>
      <c r="C62" s="14"/>
      <c r="D62" s="14"/>
      <c r="E62" s="14"/>
      <c r="F62" s="14"/>
      <c r="G62" s="103"/>
      <c r="H62" s="103"/>
      <c r="I62" s="103"/>
      <c r="J62" s="103"/>
      <c r="K62" s="103"/>
      <c r="L62" s="103"/>
    </row>
    <row r="63" spans="1:18" ht="14.1" customHeight="1">
      <c r="A63" s="102" t="s">
        <v>98</v>
      </c>
      <c r="B63" s="44"/>
      <c r="C63" s="14"/>
      <c r="D63" s="14"/>
      <c r="E63" s="14"/>
      <c r="F63" s="14"/>
      <c r="G63" s="103"/>
      <c r="H63" s="103"/>
      <c r="I63" s="103"/>
      <c r="J63" s="103"/>
      <c r="K63" s="103"/>
      <c r="L63" s="103"/>
    </row>
    <row r="64" spans="1:18" ht="14.1" customHeight="1">
      <c r="A64" s="99" t="s">
        <v>101</v>
      </c>
      <c r="B64" s="100"/>
      <c r="C64" s="100">
        <f t="shared" ref="C64:H64" si="38">SUM(C65:C66)</f>
        <v>0</v>
      </c>
      <c r="D64" s="100">
        <f t="shared" si="38"/>
        <v>0</v>
      </c>
      <c r="E64" s="100">
        <f t="shared" si="38"/>
        <v>0</v>
      </c>
      <c r="F64" s="100">
        <f t="shared" si="38"/>
        <v>0</v>
      </c>
      <c r="G64" s="101">
        <f t="shared" si="38"/>
        <v>0</v>
      </c>
      <c r="H64" s="101">
        <f t="shared" si="38"/>
        <v>0</v>
      </c>
      <c r="I64" s="101">
        <f>SUM(I65:I66)</f>
        <v>0</v>
      </c>
      <c r="J64" s="101">
        <f>SUM(J65:J66)</f>
        <v>0</v>
      </c>
      <c r="K64" s="101">
        <f>SUM(K65:K66)</f>
        <v>0</v>
      </c>
      <c r="L64" s="101">
        <f>SUM(L65:L66)</f>
        <v>0</v>
      </c>
    </row>
    <row r="65" spans="1:13" ht="14.1" customHeight="1">
      <c r="A65" s="102" t="s">
        <v>97</v>
      </c>
      <c r="B65" s="44"/>
      <c r="C65" s="14"/>
      <c r="D65" s="14"/>
      <c r="E65" s="14"/>
      <c r="F65" s="14"/>
      <c r="G65" s="103"/>
      <c r="H65" s="103"/>
      <c r="I65" s="103"/>
      <c r="J65" s="103"/>
      <c r="K65" s="103"/>
      <c r="L65" s="103"/>
    </row>
    <row r="66" spans="1:13" ht="14.1" customHeight="1">
      <c r="A66" s="102" t="s">
        <v>98</v>
      </c>
      <c r="B66" s="44"/>
      <c r="C66" s="14"/>
      <c r="D66" s="14"/>
      <c r="E66" s="14"/>
      <c r="F66" s="14"/>
      <c r="G66" s="103"/>
      <c r="H66" s="103"/>
      <c r="I66" s="103"/>
      <c r="J66" s="103"/>
      <c r="K66" s="103"/>
      <c r="L66" s="103"/>
    </row>
    <row r="67" spans="1:13" ht="14.1" customHeight="1">
      <c r="A67" s="99" t="s">
        <v>102</v>
      </c>
      <c r="B67" s="100">
        <f t="shared" ref="B67:G67" si="39">SUM(B68:B69)</f>
        <v>1140562.92</v>
      </c>
      <c r="C67" s="100">
        <f t="shared" si="39"/>
        <v>236456.74</v>
      </c>
      <c r="D67" s="100">
        <f t="shared" si="39"/>
        <v>394850</v>
      </c>
      <c r="E67" s="100">
        <f t="shared" si="39"/>
        <v>110000</v>
      </c>
      <c r="F67" s="100">
        <f t="shared" si="39"/>
        <v>0</v>
      </c>
      <c r="G67" s="101">
        <f t="shared" si="39"/>
        <v>0</v>
      </c>
      <c r="H67" s="101">
        <f>SUM(H68:H69)</f>
        <v>0</v>
      </c>
      <c r="I67" s="101">
        <f>SUM(I68:I69)</f>
        <v>280000</v>
      </c>
      <c r="J67" s="101">
        <f>SUM(J68:J69)</f>
        <v>270000</v>
      </c>
      <c r="K67" s="101">
        <f>SUM(K68:K69)</f>
        <v>560000</v>
      </c>
      <c r="L67" s="101">
        <f>SUM(L68:L69)</f>
        <v>0</v>
      </c>
      <c r="M67" s="33"/>
    </row>
    <row r="68" spans="1:13" ht="14.1" customHeight="1">
      <c r="A68" s="102" t="s">
        <v>97</v>
      </c>
      <c r="B68" s="44"/>
      <c r="C68" s="14"/>
      <c r="D68" s="14"/>
      <c r="E68" s="14"/>
      <c r="F68" s="14"/>
      <c r="G68" s="103"/>
      <c r="H68" s="103"/>
      <c r="I68" s="103"/>
      <c r="J68" s="103"/>
      <c r="K68" s="103"/>
      <c r="L68" s="103"/>
      <c r="M68" s="19" t="s">
        <v>103</v>
      </c>
    </row>
    <row r="69" spans="1:13" ht="14.1" customHeight="1">
      <c r="A69" s="102" t="s">
        <v>98</v>
      </c>
      <c r="B69" s="44">
        <v>1140562.92</v>
      </c>
      <c r="C69" s="14">
        <v>236456.74</v>
      </c>
      <c r="D69" s="14">
        <v>394850</v>
      </c>
      <c r="E69" s="14">
        <v>110000</v>
      </c>
      <c r="F69" s="14">
        <v>0</v>
      </c>
      <c r="G69" s="103">
        <v>0</v>
      </c>
      <c r="H69" s="103">
        <v>0</v>
      </c>
      <c r="I69" s="103">
        <v>280000</v>
      </c>
      <c r="J69" s="103">
        <v>270000</v>
      </c>
      <c r="K69" s="103">
        <v>560000</v>
      </c>
      <c r="L69" s="103">
        <v>0</v>
      </c>
    </row>
    <row r="70" spans="1:13" ht="14.1" customHeight="1">
      <c r="A70" s="99" t="s">
        <v>104</v>
      </c>
      <c r="B70" s="100">
        <f t="shared" ref="B70:G70" si="40">SUM(B71:B72)</f>
        <v>40719.980000000003</v>
      </c>
      <c r="C70" s="100">
        <f t="shared" si="40"/>
        <v>0</v>
      </c>
      <c r="D70" s="100">
        <f t="shared" si="40"/>
        <v>53000</v>
      </c>
      <c r="E70" s="100">
        <f t="shared" si="40"/>
        <v>0</v>
      </c>
      <c r="F70" s="100">
        <f t="shared" si="40"/>
        <v>0</v>
      </c>
      <c r="G70" s="101">
        <f t="shared" si="40"/>
        <v>0</v>
      </c>
      <c r="H70" s="101">
        <f>SUM(H71:H72)</f>
        <v>0</v>
      </c>
      <c r="I70" s="101">
        <f>SUM(I71:I72)</f>
        <v>0</v>
      </c>
      <c r="J70" s="101">
        <f>SUM(J71:J72)</f>
        <v>0</v>
      </c>
      <c r="K70" s="101">
        <f>SUM(K71:K72)</f>
        <v>0</v>
      </c>
      <c r="L70" s="101">
        <f>SUM(L71:L72)</f>
        <v>0</v>
      </c>
    </row>
    <row r="71" spans="1:13" ht="14.1" customHeight="1">
      <c r="A71" s="102" t="s">
        <v>97</v>
      </c>
      <c r="B71" s="44"/>
      <c r="C71" s="14"/>
      <c r="D71" s="14"/>
      <c r="E71" s="14"/>
      <c r="F71" s="14"/>
      <c r="G71" s="103"/>
      <c r="H71" s="103"/>
      <c r="I71" s="103"/>
      <c r="J71" s="103"/>
      <c r="K71" s="103"/>
      <c r="L71" s="103"/>
    </row>
    <row r="72" spans="1:13">
      <c r="A72" s="102" t="s">
        <v>98</v>
      </c>
      <c r="B72" s="44">
        <v>40719.980000000003</v>
      </c>
      <c r="C72" s="14"/>
      <c r="D72" s="14">
        <v>53000</v>
      </c>
      <c r="E72" s="14"/>
      <c r="F72" s="14"/>
      <c r="G72" s="103"/>
      <c r="H72" s="103"/>
      <c r="I72" s="103"/>
      <c r="J72" s="103"/>
      <c r="K72" s="103"/>
      <c r="L72" s="103"/>
    </row>
    <row r="73" spans="1:13">
      <c r="A73" s="99" t="s">
        <v>105</v>
      </c>
      <c r="B73" s="44"/>
      <c r="C73" s="100">
        <f t="shared" ref="C73:H73" si="41">SUM(C74:C75)</f>
        <v>100723.64</v>
      </c>
      <c r="D73" s="100">
        <f t="shared" si="41"/>
        <v>63400</v>
      </c>
      <c r="E73" s="100">
        <f t="shared" si="41"/>
        <v>0</v>
      </c>
      <c r="F73" s="100">
        <f t="shared" si="41"/>
        <v>0</v>
      </c>
      <c r="G73" s="101">
        <f t="shared" si="41"/>
        <v>0</v>
      </c>
      <c r="H73" s="101">
        <f t="shared" si="41"/>
        <v>0</v>
      </c>
      <c r="I73" s="101">
        <f>SUM(I74:I75)</f>
        <v>0</v>
      </c>
      <c r="J73" s="101">
        <f>SUM(J74:J75)</f>
        <v>0</v>
      </c>
      <c r="K73" s="101">
        <f>SUM(K74:K75)</f>
        <v>0</v>
      </c>
      <c r="L73" s="101">
        <f>SUM(L74:L75)</f>
        <v>0</v>
      </c>
    </row>
    <row r="74" spans="1:13">
      <c r="A74" s="102" t="s">
        <v>97</v>
      </c>
      <c r="B74" s="44"/>
      <c r="C74" s="14"/>
      <c r="D74" s="14">
        <v>63400</v>
      </c>
      <c r="E74" s="14"/>
      <c r="F74" s="14"/>
      <c r="G74" s="103"/>
      <c r="H74" s="103"/>
      <c r="I74" s="103"/>
      <c r="J74" s="103"/>
      <c r="K74" s="103"/>
      <c r="L74" s="103"/>
    </row>
    <row r="75" spans="1:13">
      <c r="A75" s="102" t="s">
        <v>98</v>
      </c>
      <c r="B75" s="44"/>
      <c r="C75" s="14">
        <v>100723.64</v>
      </c>
      <c r="D75" s="14">
        <v>0</v>
      </c>
      <c r="E75" s="14">
        <v>0</v>
      </c>
      <c r="F75" s="14"/>
      <c r="G75" s="103"/>
      <c r="H75" s="103"/>
      <c r="I75" s="103">
        <v>0</v>
      </c>
      <c r="J75" s="103"/>
      <c r="K75" s="103"/>
      <c r="L75" s="103"/>
    </row>
    <row r="76" spans="1:13">
      <c r="A76" s="99" t="s">
        <v>106</v>
      </c>
      <c r="B76" s="100">
        <f t="shared" ref="B76:G76" si="42">SUM(B77:B78)</f>
        <v>17495</v>
      </c>
      <c r="C76" s="100">
        <f t="shared" si="42"/>
        <v>12588.32</v>
      </c>
      <c r="D76" s="100">
        <f t="shared" si="42"/>
        <v>0</v>
      </c>
      <c r="E76" s="100">
        <f t="shared" si="42"/>
        <v>0</v>
      </c>
      <c r="F76" s="100">
        <f t="shared" si="42"/>
        <v>0</v>
      </c>
      <c r="G76" s="101">
        <f t="shared" si="42"/>
        <v>0</v>
      </c>
      <c r="H76" s="101">
        <f>SUM(H77:H78)</f>
        <v>0</v>
      </c>
      <c r="I76" s="101">
        <f>SUM(I77:I78)</f>
        <v>0</v>
      </c>
      <c r="J76" s="101">
        <f>SUM(J77:J78)</f>
        <v>0</v>
      </c>
      <c r="K76" s="101">
        <f>SUM(K77:K78)</f>
        <v>0</v>
      </c>
      <c r="L76" s="101">
        <f>SUM(L77:L78)</f>
        <v>0</v>
      </c>
    </row>
    <row r="77" spans="1:13">
      <c r="A77" s="102" t="s">
        <v>97</v>
      </c>
      <c r="B77" s="44"/>
      <c r="C77" s="14"/>
      <c r="D77" s="14"/>
      <c r="E77" s="14"/>
      <c r="F77" s="14"/>
      <c r="G77" s="103"/>
      <c r="H77" s="103"/>
      <c r="I77" s="103"/>
      <c r="J77" s="103"/>
      <c r="K77" s="103"/>
      <c r="L77" s="103"/>
    </row>
    <row r="78" spans="1:13">
      <c r="A78" s="102" t="s">
        <v>98</v>
      </c>
      <c r="B78" s="44">
        <v>17495</v>
      </c>
      <c r="C78" s="14">
        <v>12588.32</v>
      </c>
      <c r="D78" s="14"/>
      <c r="E78" s="14"/>
      <c r="F78" s="14"/>
      <c r="G78" s="103"/>
      <c r="H78" s="103"/>
      <c r="I78" s="103"/>
      <c r="J78" s="103"/>
      <c r="K78" s="103"/>
      <c r="L78" s="103"/>
    </row>
    <row r="79" spans="1:13">
      <c r="A79" s="99" t="s">
        <v>107</v>
      </c>
      <c r="B79" s="100">
        <f t="shared" ref="B79:G79" si="43">SUM(B80:B81)</f>
        <v>1058850.8799999999</v>
      </c>
      <c r="C79" s="100">
        <f t="shared" si="43"/>
        <v>44886</v>
      </c>
      <c r="D79" s="100">
        <f t="shared" si="43"/>
        <v>10000</v>
      </c>
      <c r="E79" s="100">
        <f t="shared" si="43"/>
        <v>0</v>
      </c>
      <c r="F79" s="100">
        <f t="shared" si="43"/>
        <v>0</v>
      </c>
      <c r="G79" s="101">
        <f t="shared" si="43"/>
        <v>0</v>
      </c>
      <c r="H79" s="101">
        <f>SUM(H80:H81)</f>
        <v>50000</v>
      </c>
      <c r="I79" s="101">
        <f>SUM(I80:I81)</f>
        <v>0</v>
      </c>
      <c r="J79" s="101">
        <f>SUM(J80:J81)</f>
        <v>0</v>
      </c>
      <c r="K79" s="101">
        <f>SUM(K80:K81)</f>
        <v>0</v>
      </c>
      <c r="L79" s="101">
        <f>SUM(L80:L81)</f>
        <v>0</v>
      </c>
    </row>
    <row r="80" spans="1:13">
      <c r="A80" s="102" t="s">
        <v>97</v>
      </c>
      <c r="B80" s="44"/>
      <c r="C80" s="14"/>
      <c r="D80" s="14"/>
      <c r="E80" s="14"/>
      <c r="F80" s="14"/>
      <c r="G80" s="103"/>
      <c r="H80" s="103"/>
      <c r="I80" s="103"/>
      <c r="J80" s="103"/>
      <c r="K80" s="103"/>
      <c r="L80" s="103"/>
    </row>
    <row r="81" spans="1:13">
      <c r="A81" s="102" t="s">
        <v>98</v>
      </c>
      <c r="B81" s="44">
        <v>1058850.8799999999</v>
      </c>
      <c r="C81" s="14">
        <v>44886</v>
      </c>
      <c r="D81" s="14">
        <v>10000</v>
      </c>
      <c r="E81" s="14">
        <v>0</v>
      </c>
      <c r="F81" s="14"/>
      <c r="G81" s="103"/>
      <c r="H81" s="103">
        <v>50000</v>
      </c>
      <c r="I81" s="103"/>
      <c r="J81" s="103">
        <v>0</v>
      </c>
      <c r="K81" s="103"/>
      <c r="L81" s="103"/>
    </row>
    <row r="82" spans="1:13">
      <c r="A82" s="99" t="s">
        <v>108</v>
      </c>
      <c r="B82" s="100">
        <f t="shared" ref="B82:G82" si="44">SUM(B83:B84)</f>
        <v>68638.539999999994</v>
      </c>
      <c r="C82" s="100">
        <f t="shared" si="44"/>
        <v>326972.69</v>
      </c>
      <c r="D82" s="100">
        <f t="shared" si="44"/>
        <v>376000</v>
      </c>
      <c r="E82" s="100">
        <f t="shared" si="44"/>
        <v>0</v>
      </c>
      <c r="F82" s="100">
        <f t="shared" si="44"/>
        <v>0</v>
      </c>
      <c r="G82" s="101">
        <f t="shared" si="44"/>
        <v>0</v>
      </c>
      <c r="H82" s="101">
        <f>SUM(H83:H84)</f>
        <v>80000</v>
      </c>
      <c r="I82" s="101">
        <f>SUM(I83:I84)</f>
        <v>8000000</v>
      </c>
      <c r="J82" s="101">
        <f>SUM(J83:J84)</f>
        <v>0</v>
      </c>
      <c r="K82" s="101">
        <f>SUM(K83:K84)</f>
        <v>0</v>
      </c>
      <c r="L82" s="101">
        <f>SUM(L83:L84)</f>
        <v>0</v>
      </c>
    </row>
    <row r="83" spans="1:13">
      <c r="A83" s="102" t="s">
        <v>97</v>
      </c>
      <c r="B83" s="44"/>
      <c r="C83" s="14"/>
      <c r="D83" s="14">
        <v>110000</v>
      </c>
      <c r="E83" s="14"/>
      <c r="F83" s="14"/>
      <c r="G83" s="103"/>
      <c r="H83" s="103"/>
      <c r="I83" s="103">
        <v>4800000</v>
      </c>
      <c r="J83" s="103"/>
      <c r="K83" s="103"/>
      <c r="L83" s="103"/>
    </row>
    <row r="84" spans="1:13">
      <c r="A84" s="102" t="s">
        <v>98</v>
      </c>
      <c r="B84" s="44">
        <v>68638.539999999994</v>
      </c>
      <c r="C84" s="14">
        <v>326972.69</v>
      </c>
      <c r="D84" s="14">
        <v>266000</v>
      </c>
      <c r="E84" s="14">
        <v>0</v>
      </c>
      <c r="F84" s="14"/>
      <c r="G84" s="103">
        <v>0</v>
      </c>
      <c r="H84" s="103">
        <v>80000</v>
      </c>
      <c r="I84" s="103">
        <v>3200000</v>
      </c>
      <c r="J84" s="103"/>
      <c r="K84" s="103"/>
      <c r="L84" s="103"/>
    </row>
    <row r="85" spans="1:13">
      <c r="A85" s="99" t="s">
        <v>109</v>
      </c>
      <c r="B85" s="100">
        <f t="shared" ref="B85:G85" si="45">SUM(B86:B87)</f>
        <v>1974473.15</v>
      </c>
      <c r="C85" s="100">
        <f t="shared" si="45"/>
        <v>9360</v>
      </c>
      <c r="D85" s="100">
        <f t="shared" si="45"/>
        <v>37935</v>
      </c>
      <c r="E85" s="100">
        <f t="shared" si="45"/>
        <v>0</v>
      </c>
      <c r="F85" s="100">
        <f t="shared" si="45"/>
        <v>0</v>
      </c>
      <c r="G85" s="101">
        <f t="shared" si="45"/>
        <v>0</v>
      </c>
      <c r="H85" s="101">
        <f>SUM(H86:H87)</f>
        <v>0</v>
      </c>
      <c r="I85" s="101">
        <f>SUM(I86:I87)</f>
        <v>0</v>
      </c>
      <c r="J85" s="101">
        <f>SUM(J86:J87)</f>
        <v>0</v>
      </c>
      <c r="K85" s="101">
        <f>SUM(K86:K87)</f>
        <v>0</v>
      </c>
      <c r="L85" s="101">
        <f>SUM(L86:L87)</f>
        <v>0</v>
      </c>
    </row>
    <row r="86" spans="1:13">
      <c r="A86" s="102" t="s">
        <v>97</v>
      </c>
      <c r="B86" s="44"/>
      <c r="C86" s="14"/>
      <c r="D86" s="14">
        <v>27000</v>
      </c>
      <c r="E86" s="14"/>
      <c r="F86" s="14"/>
      <c r="G86" s="103"/>
      <c r="H86" s="103"/>
      <c r="I86" s="103"/>
      <c r="J86" s="103"/>
      <c r="K86" s="103"/>
      <c r="L86" s="103"/>
    </row>
    <row r="87" spans="1:13" s="19" customFormat="1" ht="12.75">
      <c r="A87" s="102" t="s">
        <v>98</v>
      </c>
      <c r="B87" s="44">
        <v>1974473.15</v>
      </c>
      <c r="C87" s="14">
        <v>9360</v>
      </c>
      <c r="D87" s="14">
        <v>10935</v>
      </c>
      <c r="E87" s="14"/>
      <c r="F87" s="14"/>
      <c r="G87" s="103"/>
      <c r="H87" s="103"/>
      <c r="I87" s="103"/>
      <c r="J87" s="103"/>
      <c r="K87" s="103"/>
      <c r="L87" s="103"/>
    </row>
    <row r="88" spans="1:13" s="19" customFormat="1" ht="12.75">
      <c r="A88" s="104" t="s">
        <v>110</v>
      </c>
      <c r="B88" s="105">
        <f t="shared" ref="B88:G88" si="46">SUM(B89:B90)</f>
        <v>4300740.47</v>
      </c>
      <c r="C88" s="105">
        <f t="shared" si="46"/>
        <v>730987.39</v>
      </c>
      <c r="D88" s="105">
        <f t="shared" si="46"/>
        <v>935185</v>
      </c>
      <c r="E88" s="105">
        <f t="shared" si="46"/>
        <v>110000</v>
      </c>
      <c r="F88" s="105">
        <f t="shared" si="46"/>
        <v>0</v>
      </c>
      <c r="G88" s="106">
        <f t="shared" si="46"/>
        <v>0</v>
      </c>
      <c r="H88" s="106">
        <f>SUM(H89:H90)</f>
        <v>130000</v>
      </c>
      <c r="I88" s="106">
        <f>SUM(I89:I90)</f>
        <v>8280000</v>
      </c>
      <c r="J88" s="106">
        <f>SUM(J89:J90)</f>
        <v>270000</v>
      </c>
      <c r="K88" s="106">
        <f>SUM(K89:K90)</f>
        <v>560000</v>
      </c>
      <c r="L88" s="106">
        <f>SUM(L89:L90)</f>
        <v>0</v>
      </c>
      <c r="M88" s="107">
        <f>SUM(D88:K88)</f>
        <v>10285185</v>
      </c>
    </row>
    <row r="89" spans="1:13">
      <c r="A89" s="102" t="s">
        <v>97</v>
      </c>
      <c r="B89" s="44"/>
      <c r="C89" s="44">
        <f t="shared" ref="B89:K90" si="47">C59+C62+C65+C68+C71+C74+C77+C80+C83+C86</f>
        <v>0</v>
      </c>
      <c r="D89" s="44">
        <f t="shared" si="47"/>
        <v>200400</v>
      </c>
      <c r="E89" s="44">
        <f t="shared" si="47"/>
        <v>0</v>
      </c>
      <c r="F89" s="44">
        <f t="shared" si="47"/>
        <v>0</v>
      </c>
      <c r="G89" s="108">
        <f t="shared" si="47"/>
        <v>0</v>
      </c>
      <c r="H89" s="108">
        <f t="shared" si="47"/>
        <v>0</v>
      </c>
      <c r="I89" s="108">
        <f t="shared" si="47"/>
        <v>4800000</v>
      </c>
      <c r="J89" s="108">
        <f t="shared" si="47"/>
        <v>0</v>
      </c>
      <c r="K89" s="108">
        <f t="shared" si="47"/>
        <v>0</v>
      </c>
      <c r="L89" s="108">
        <f>L59+L62+L65+L68+L71+L74+L77+L80+L83+L86</f>
        <v>0</v>
      </c>
    </row>
    <row r="90" spans="1:13" ht="15.75" thickBot="1">
      <c r="A90" s="109" t="s">
        <v>98</v>
      </c>
      <c r="B90" s="110">
        <f t="shared" si="47"/>
        <v>4300740.47</v>
      </c>
      <c r="C90" s="110">
        <f t="shared" si="47"/>
        <v>730987.39</v>
      </c>
      <c r="D90" s="110">
        <f t="shared" si="47"/>
        <v>734785</v>
      </c>
      <c r="E90" s="110">
        <f t="shared" si="47"/>
        <v>110000</v>
      </c>
      <c r="F90" s="110">
        <f t="shared" si="47"/>
        <v>0</v>
      </c>
      <c r="G90" s="111">
        <f t="shared" si="47"/>
        <v>0</v>
      </c>
      <c r="H90" s="111">
        <f t="shared" si="47"/>
        <v>130000</v>
      </c>
      <c r="I90" s="111">
        <f t="shared" si="47"/>
        <v>3480000</v>
      </c>
      <c r="J90" s="111">
        <f t="shared" si="47"/>
        <v>270000</v>
      </c>
      <c r="K90" s="111">
        <f t="shared" si="47"/>
        <v>560000</v>
      </c>
      <c r="L90" s="111">
        <f>L60+L63+L66+L69+L72+L75+L78+L81+L84+L87</f>
        <v>0</v>
      </c>
    </row>
    <row r="91" spans="1:13" ht="19.5" customHeight="1">
      <c r="A91" s="112" t="s">
        <v>111</v>
      </c>
      <c r="B91" s="113">
        <f>SUM(B90+B23)</f>
        <v>22895.439999999478</v>
      </c>
      <c r="C91" s="114">
        <f t="shared" ref="C91:H91" si="48">C23+C88</f>
        <v>0.27000000001862645</v>
      </c>
      <c r="D91" s="114">
        <f t="shared" si="48"/>
        <v>0</v>
      </c>
      <c r="E91" s="114">
        <f t="shared" si="48"/>
        <v>0</v>
      </c>
      <c r="F91" s="114">
        <f t="shared" si="48"/>
        <v>0</v>
      </c>
      <c r="G91" s="114">
        <f t="shared" si="48"/>
        <v>0</v>
      </c>
      <c r="H91" s="114">
        <f t="shared" si="48"/>
        <v>0</v>
      </c>
      <c r="I91" s="114">
        <f>I23+I88</f>
        <v>0</v>
      </c>
      <c r="J91" s="114">
        <f>J23+J88</f>
        <v>0</v>
      </c>
      <c r="K91" s="114">
        <f>K23+K88</f>
        <v>0</v>
      </c>
      <c r="L91" s="114">
        <f>L23+L88</f>
        <v>0</v>
      </c>
      <c r="M91" s="19" t="s">
        <v>85</v>
      </c>
    </row>
    <row r="92" spans="1:13" s="115" customFormat="1" ht="12.75">
      <c r="D92" s="113">
        <v>0</v>
      </c>
      <c r="E92" s="113">
        <v>0</v>
      </c>
      <c r="F92" s="113">
        <v>0</v>
      </c>
      <c r="G92" s="113">
        <v>0</v>
      </c>
      <c r="H92" s="113">
        <v>0</v>
      </c>
      <c r="I92" s="113">
        <v>0</v>
      </c>
      <c r="J92" s="113">
        <v>0</v>
      </c>
      <c r="K92" s="113">
        <v>0</v>
      </c>
      <c r="L92" s="113">
        <v>0</v>
      </c>
      <c r="M92" s="115" t="s">
        <v>112</v>
      </c>
    </row>
    <row r="93" spans="1:13">
      <c r="A93" s="33" t="s">
        <v>113</v>
      </c>
      <c r="B93" s="70" t="s">
        <v>114</v>
      </c>
      <c r="C93" s="70"/>
      <c r="D93" s="70"/>
      <c r="E93" s="70"/>
      <c r="F93" s="70"/>
    </row>
    <row r="94" spans="1:13">
      <c r="A94" s="99" t="s">
        <v>115</v>
      </c>
      <c r="B94" s="116"/>
      <c r="C94" s="100">
        <f t="shared" ref="C94:H94" si="49">SUM(C95:C96)</f>
        <v>0</v>
      </c>
      <c r="D94" s="100">
        <f t="shared" si="49"/>
        <v>0</v>
      </c>
      <c r="E94" s="100">
        <f t="shared" si="49"/>
        <v>0</v>
      </c>
      <c r="F94" s="100">
        <f t="shared" si="49"/>
        <v>0</v>
      </c>
      <c r="G94" s="101">
        <f t="shared" si="49"/>
        <v>0</v>
      </c>
      <c r="H94" s="101">
        <f t="shared" si="49"/>
        <v>0</v>
      </c>
      <c r="I94" s="101">
        <f>SUM(I95:I96)</f>
        <v>0</v>
      </c>
      <c r="J94" s="101">
        <f>SUM(J95:J96)</f>
        <v>0</v>
      </c>
      <c r="K94" s="101">
        <f>SUM(K95:K96)</f>
        <v>0</v>
      </c>
      <c r="L94" s="117"/>
    </row>
    <row r="95" spans="1:13">
      <c r="A95" s="102" t="s">
        <v>97</v>
      </c>
      <c r="B95" s="116"/>
      <c r="C95" s="14"/>
      <c r="D95" s="118"/>
      <c r="E95" s="118"/>
      <c r="F95" s="118"/>
      <c r="G95" s="118"/>
      <c r="H95" s="118"/>
      <c r="I95" s="118"/>
      <c r="J95" s="118"/>
      <c r="K95" s="118"/>
      <c r="L95" s="40"/>
    </row>
    <row r="96" spans="1:13">
      <c r="A96" s="102" t="s">
        <v>98</v>
      </c>
      <c r="B96" s="116"/>
      <c r="C96" s="118"/>
      <c r="D96" s="118"/>
      <c r="E96" s="118"/>
      <c r="F96" s="118"/>
      <c r="G96" s="118"/>
      <c r="H96" s="118"/>
      <c r="I96" s="118"/>
      <c r="J96" s="118"/>
      <c r="K96" s="118"/>
      <c r="L96" s="40"/>
    </row>
    <row r="97" spans="1:12">
      <c r="A97" s="99" t="s">
        <v>115</v>
      </c>
      <c r="B97" s="116"/>
      <c r="C97" s="100">
        <f t="shared" ref="C97:H97" si="50">SUM(C98:C99)</f>
        <v>0</v>
      </c>
      <c r="D97" s="100">
        <f t="shared" si="50"/>
        <v>0</v>
      </c>
      <c r="E97" s="100">
        <f t="shared" si="50"/>
        <v>0</v>
      </c>
      <c r="F97" s="100">
        <f t="shared" si="50"/>
        <v>0</v>
      </c>
      <c r="G97" s="101">
        <f t="shared" si="50"/>
        <v>0</v>
      </c>
      <c r="H97" s="101">
        <f t="shared" si="50"/>
        <v>0</v>
      </c>
      <c r="I97" s="101">
        <f>SUM(I98:I99)</f>
        <v>0</v>
      </c>
      <c r="J97" s="101">
        <f>SUM(J98:J99)</f>
        <v>0</v>
      </c>
      <c r="K97" s="101">
        <f>SUM(K98:K99)</f>
        <v>0</v>
      </c>
      <c r="L97" s="117"/>
    </row>
    <row r="98" spans="1:12">
      <c r="A98" s="102" t="s">
        <v>97</v>
      </c>
      <c r="B98" s="116"/>
      <c r="C98" s="118"/>
      <c r="D98" s="118"/>
      <c r="E98" s="118"/>
      <c r="F98" s="118"/>
      <c r="G98" s="118"/>
      <c r="H98" s="118"/>
      <c r="I98" s="118"/>
      <c r="J98" s="118"/>
      <c r="K98" s="118"/>
      <c r="L98" s="40"/>
    </row>
    <row r="99" spans="1:12">
      <c r="A99" s="102" t="s">
        <v>98</v>
      </c>
      <c r="B99" s="116"/>
      <c r="C99" s="118"/>
      <c r="D99" s="118"/>
      <c r="E99" s="118"/>
      <c r="F99" s="118"/>
      <c r="G99" s="118"/>
      <c r="H99" s="118"/>
      <c r="I99" s="118"/>
      <c r="J99" s="118"/>
      <c r="K99" s="118"/>
      <c r="L99" s="40"/>
    </row>
    <row r="100" spans="1:12">
      <c r="A100" s="99" t="s">
        <v>115</v>
      </c>
      <c r="B100" s="116"/>
      <c r="C100" s="100">
        <f t="shared" ref="C100:H100" si="51">SUM(C101:C102)</f>
        <v>0</v>
      </c>
      <c r="D100" s="100">
        <f t="shared" si="51"/>
        <v>0</v>
      </c>
      <c r="E100" s="100">
        <f t="shared" si="51"/>
        <v>0</v>
      </c>
      <c r="F100" s="100">
        <f t="shared" si="51"/>
        <v>0</v>
      </c>
      <c r="G100" s="101">
        <f t="shared" si="51"/>
        <v>0</v>
      </c>
      <c r="H100" s="101">
        <f t="shared" si="51"/>
        <v>0</v>
      </c>
      <c r="I100" s="101">
        <f>SUM(I101:I102)</f>
        <v>0</v>
      </c>
      <c r="J100" s="101">
        <f>SUM(J101:J102)</f>
        <v>0</v>
      </c>
      <c r="K100" s="101">
        <f>SUM(K101:K102)</f>
        <v>0</v>
      </c>
      <c r="L100" s="117"/>
    </row>
    <row r="101" spans="1:12">
      <c r="A101" s="102" t="s">
        <v>97</v>
      </c>
      <c r="B101" s="116"/>
      <c r="C101" s="118"/>
      <c r="D101" s="118"/>
      <c r="E101" s="118"/>
      <c r="F101" s="118"/>
      <c r="G101" s="118"/>
      <c r="H101" s="118"/>
      <c r="I101" s="118"/>
      <c r="J101" s="118"/>
      <c r="K101" s="118"/>
      <c r="L101" s="40"/>
    </row>
    <row r="102" spans="1:12">
      <c r="A102" s="102" t="s">
        <v>98</v>
      </c>
      <c r="B102" s="116"/>
      <c r="C102" s="118"/>
      <c r="D102" s="118"/>
      <c r="E102" s="118"/>
      <c r="F102" s="118"/>
      <c r="G102" s="118"/>
      <c r="H102" s="118"/>
      <c r="I102" s="118"/>
      <c r="J102" s="118"/>
      <c r="K102" s="118"/>
      <c r="L102" s="40"/>
    </row>
    <row r="103" spans="1:12">
      <c r="A103" s="99" t="s">
        <v>115</v>
      </c>
      <c r="B103" s="116"/>
      <c r="C103" s="100">
        <f t="shared" ref="C103:H103" si="52">SUM(C104:C105)</f>
        <v>0</v>
      </c>
      <c r="D103" s="100">
        <f t="shared" si="52"/>
        <v>0</v>
      </c>
      <c r="E103" s="100">
        <f t="shared" si="52"/>
        <v>0</v>
      </c>
      <c r="F103" s="100">
        <f t="shared" si="52"/>
        <v>0</v>
      </c>
      <c r="G103" s="101">
        <f t="shared" si="52"/>
        <v>0</v>
      </c>
      <c r="H103" s="101">
        <f t="shared" si="52"/>
        <v>0</v>
      </c>
      <c r="I103" s="101">
        <f>SUM(I104:I105)</f>
        <v>0</v>
      </c>
      <c r="J103" s="101">
        <f>SUM(J104:J105)</f>
        <v>0</v>
      </c>
      <c r="K103" s="101">
        <f>SUM(K104:K105)</f>
        <v>0</v>
      </c>
      <c r="L103" s="117"/>
    </row>
    <row r="104" spans="1:12">
      <c r="A104" s="102" t="s">
        <v>97</v>
      </c>
      <c r="B104" s="116"/>
      <c r="C104" s="14"/>
      <c r="D104" s="118"/>
      <c r="E104" s="118"/>
      <c r="F104" s="118"/>
      <c r="G104" s="118"/>
      <c r="H104" s="118"/>
      <c r="I104" s="118"/>
      <c r="J104" s="118"/>
      <c r="K104" s="118"/>
      <c r="L104" s="40"/>
    </row>
    <row r="105" spans="1:12">
      <c r="A105" s="102" t="s">
        <v>98</v>
      </c>
      <c r="B105" s="116"/>
      <c r="C105" s="118"/>
      <c r="D105" s="118"/>
      <c r="E105" s="118"/>
      <c r="F105" s="118"/>
      <c r="G105" s="118"/>
      <c r="H105" s="118"/>
      <c r="I105" s="118"/>
      <c r="J105" s="118"/>
      <c r="K105" s="118"/>
      <c r="L105" s="40"/>
    </row>
    <row r="106" spans="1:12">
      <c r="A106" s="99" t="s">
        <v>115</v>
      </c>
      <c r="B106" s="116"/>
      <c r="C106" s="100">
        <f t="shared" ref="C106:H106" si="53">SUM(C107:C108)</f>
        <v>0</v>
      </c>
      <c r="D106" s="100">
        <f t="shared" si="53"/>
        <v>0</v>
      </c>
      <c r="E106" s="100">
        <f t="shared" si="53"/>
        <v>0</v>
      </c>
      <c r="F106" s="100">
        <f t="shared" si="53"/>
        <v>0</v>
      </c>
      <c r="G106" s="101">
        <f t="shared" si="53"/>
        <v>0</v>
      </c>
      <c r="H106" s="101">
        <f t="shared" si="53"/>
        <v>0</v>
      </c>
      <c r="I106" s="101">
        <f>SUM(I107:I108)</f>
        <v>0</v>
      </c>
      <c r="J106" s="101">
        <f>SUM(J107:J108)</f>
        <v>0</v>
      </c>
      <c r="K106" s="101">
        <f>SUM(K107:K108)</f>
        <v>0</v>
      </c>
      <c r="L106" s="117"/>
    </row>
    <row r="107" spans="1:12">
      <c r="A107" s="102" t="s">
        <v>97</v>
      </c>
      <c r="B107" s="116"/>
      <c r="C107" s="118"/>
      <c r="D107" s="118"/>
      <c r="E107" s="118"/>
      <c r="F107" s="118"/>
      <c r="G107" s="118"/>
      <c r="H107" s="118"/>
      <c r="I107" s="118"/>
      <c r="J107" s="118"/>
      <c r="K107" s="118"/>
      <c r="L107" s="40"/>
    </row>
    <row r="108" spans="1:12">
      <c r="A108" s="102" t="s">
        <v>98</v>
      </c>
      <c r="B108" s="116"/>
      <c r="C108" s="118"/>
      <c r="D108" s="118"/>
      <c r="E108" s="118"/>
      <c r="F108" s="118"/>
      <c r="G108" s="118"/>
      <c r="H108" s="118"/>
      <c r="I108" s="118"/>
      <c r="J108" s="118"/>
      <c r="K108" s="118"/>
      <c r="L108" s="40"/>
    </row>
    <row r="109" spans="1:12">
      <c r="A109" s="99" t="s">
        <v>115</v>
      </c>
      <c r="B109" s="116"/>
      <c r="C109" s="100">
        <f t="shared" ref="C109:H109" si="54">SUM(C110:C111)</f>
        <v>0</v>
      </c>
      <c r="D109" s="100">
        <f t="shared" si="54"/>
        <v>0</v>
      </c>
      <c r="E109" s="100">
        <f t="shared" si="54"/>
        <v>0</v>
      </c>
      <c r="F109" s="100">
        <f t="shared" si="54"/>
        <v>0</v>
      </c>
      <c r="G109" s="101">
        <f t="shared" si="54"/>
        <v>0</v>
      </c>
      <c r="H109" s="101">
        <f t="shared" si="54"/>
        <v>0</v>
      </c>
      <c r="I109" s="101">
        <f>SUM(I110:I111)</f>
        <v>0</v>
      </c>
      <c r="J109" s="101">
        <f>SUM(J110:J111)</f>
        <v>0</v>
      </c>
      <c r="K109" s="101">
        <f>SUM(K110:K111)</f>
        <v>0</v>
      </c>
      <c r="L109" s="117"/>
    </row>
    <row r="110" spans="1:12">
      <c r="A110" s="102" t="s">
        <v>97</v>
      </c>
      <c r="B110" s="116"/>
      <c r="C110" s="118"/>
      <c r="D110" s="118"/>
      <c r="E110" s="118"/>
      <c r="F110" s="118"/>
      <c r="G110" s="118"/>
      <c r="H110" s="118"/>
      <c r="I110" s="118"/>
      <c r="J110" s="118"/>
      <c r="K110" s="118"/>
      <c r="L110" s="40"/>
    </row>
    <row r="111" spans="1:12">
      <c r="A111" s="102" t="s">
        <v>98</v>
      </c>
      <c r="B111" s="116"/>
      <c r="C111" s="118"/>
      <c r="D111" s="118"/>
      <c r="E111" s="118"/>
      <c r="F111" s="118"/>
      <c r="G111" s="118"/>
      <c r="H111" s="118"/>
      <c r="I111" s="118"/>
      <c r="J111" s="118"/>
      <c r="K111" s="118"/>
      <c r="L111" s="40"/>
    </row>
    <row r="112" spans="1:12">
      <c r="C112" s="40"/>
      <c r="D112" s="40"/>
      <c r="E112" s="40"/>
      <c r="F112" s="40"/>
      <c r="G112" s="40"/>
      <c r="H112" s="40"/>
      <c r="I112" s="40"/>
      <c r="J112" s="40"/>
      <c r="K112" s="40"/>
      <c r="L112" s="40"/>
    </row>
    <row r="113" spans="3:12">
      <c r="C113" s="40"/>
      <c r="D113" s="40"/>
      <c r="E113" s="40"/>
      <c r="F113" s="40"/>
      <c r="G113" s="40"/>
      <c r="H113" s="40"/>
      <c r="I113" s="40"/>
      <c r="J113" s="40"/>
      <c r="K113" s="40"/>
      <c r="L113" s="40"/>
    </row>
    <row r="114" spans="3:12">
      <c r="C114" s="40"/>
      <c r="D114" s="40"/>
      <c r="E114" s="40"/>
      <c r="F114" s="40"/>
      <c r="G114" s="40"/>
      <c r="H114" s="40"/>
      <c r="I114" s="40"/>
      <c r="J114" s="40"/>
      <c r="K114" s="40"/>
      <c r="L114" s="40"/>
    </row>
    <row r="115" spans="3:12">
      <c r="C115" s="40"/>
      <c r="D115" s="40"/>
      <c r="E115" s="40"/>
      <c r="F115" s="40"/>
      <c r="G115" s="40"/>
      <c r="H115" s="40"/>
      <c r="I115" s="40"/>
      <c r="J115" s="40"/>
      <c r="K115" s="40"/>
      <c r="L115" s="40"/>
    </row>
    <row r="116" spans="3:12">
      <c r="C116" s="40"/>
      <c r="D116" s="40"/>
      <c r="E116" s="40"/>
      <c r="F116" s="40"/>
      <c r="G116" s="40"/>
      <c r="H116" s="40"/>
      <c r="I116" s="40"/>
      <c r="J116" s="40"/>
      <c r="K116" s="40"/>
      <c r="L116" s="40"/>
    </row>
    <row r="117" spans="3:12">
      <c r="C117" s="40"/>
      <c r="D117" s="40"/>
      <c r="E117" s="40"/>
      <c r="F117" s="40"/>
      <c r="G117" s="40"/>
      <c r="H117" s="40"/>
      <c r="I117" s="40"/>
      <c r="J117" s="40"/>
      <c r="K117" s="40"/>
      <c r="L117" s="40"/>
    </row>
    <row r="118" spans="3:12">
      <c r="C118" s="40"/>
      <c r="D118" s="40"/>
      <c r="E118" s="40"/>
      <c r="F118" s="40"/>
      <c r="G118" s="40"/>
      <c r="H118" s="40"/>
      <c r="I118" s="40"/>
      <c r="J118" s="40"/>
      <c r="K118" s="40"/>
      <c r="L118" s="40"/>
    </row>
    <row r="119" spans="3:12">
      <c r="C119" s="40"/>
      <c r="D119" s="40"/>
      <c r="E119" s="40"/>
      <c r="F119" s="40"/>
      <c r="G119" s="40"/>
      <c r="H119" s="40"/>
      <c r="I119" s="40"/>
      <c r="J119" s="40"/>
      <c r="K119" s="40"/>
      <c r="L119" s="40"/>
    </row>
    <row r="120" spans="3:12">
      <c r="C120" s="40"/>
      <c r="D120" s="40"/>
      <c r="E120" s="40"/>
      <c r="F120" s="40"/>
      <c r="G120" s="40"/>
      <c r="H120" s="40"/>
      <c r="I120" s="40"/>
      <c r="J120" s="40"/>
      <c r="K120" s="40"/>
      <c r="L120" s="40"/>
    </row>
    <row r="121" spans="3:12">
      <c r="C121" s="40"/>
      <c r="D121" s="40"/>
      <c r="E121" s="40"/>
      <c r="F121" s="40"/>
      <c r="G121" s="40"/>
      <c r="H121" s="40"/>
      <c r="I121" s="40"/>
      <c r="J121" s="40"/>
      <c r="K121" s="40"/>
      <c r="L121" s="40"/>
    </row>
    <row r="122" spans="3:12">
      <c r="C122" s="40"/>
      <c r="D122" s="40"/>
      <c r="E122" s="40"/>
      <c r="F122" s="40"/>
      <c r="G122" s="40"/>
      <c r="H122" s="40"/>
      <c r="I122" s="40"/>
      <c r="J122" s="40"/>
      <c r="K122" s="40"/>
      <c r="L122" s="40"/>
    </row>
    <row r="123" spans="3:12">
      <c r="C123" s="40"/>
      <c r="D123" s="40"/>
      <c r="E123" s="40"/>
      <c r="F123" s="40"/>
      <c r="G123" s="40"/>
      <c r="H123" s="40"/>
      <c r="I123" s="40"/>
      <c r="J123" s="40"/>
      <c r="K123" s="40"/>
      <c r="L123" s="40"/>
    </row>
    <row r="124" spans="3:12">
      <c r="C124" s="40"/>
      <c r="D124" s="40"/>
      <c r="E124" s="40"/>
      <c r="F124" s="40"/>
      <c r="G124" s="40"/>
      <c r="H124" s="40"/>
      <c r="I124" s="40"/>
      <c r="J124" s="40"/>
      <c r="K124" s="40"/>
      <c r="L124" s="40"/>
    </row>
    <row r="125" spans="3:12">
      <c r="C125" s="40"/>
      <c r="D125" s="40"/>
      <c r="E125" s="40"/>
      <c r="F125" s="40"/>
      <c r="G125" s="40"/>
      <c r="H125" s="40"/>
      <c r="I125" s="40"/>
      <c r="J125" s="40"/>
      <c r="K125" s="40"/>
      <c r="L125" s="40"/>
    </row>
    <row r="126" spans="3:12">
      <c r="C126" s="40"/>
      <c r="D126" s="40"/>
      <c r="E126" s="40"/>
      <c r="F126" s="40"/>
      <c r="G126" s="40"/>
      <c r="H126" s="40"/>
      <c r="I126" s="40"/>
      <c r="J126" s="40"/>
      <c r="K126" s="40"/>
      <c r="L126" s="40"/>
    </row>
    <row r="127" spans="3:12">
      <c r="C127" s="40"/>
      <c r="D127" s="40"/>
      <c r="E127" s="40"/>
      <c r="F127" s="40"/>
      <c r="G127" s="40"/>
      <c r="H127" s="40"/>
      <c r="I127" s="40"/>
      <c r="J127" s="40"/>
      <c r="K127" s="40"/>
      <c r="L127" s="40"/>
    </row>
    <row r="128" spans="3:12">
      <c r="C128" s="40"/>
      <c r="D128" s="40"/>
      <c r="E128" s="40"/>
      <c r="F128" s="40"/>
      <c r="G128" s="40"/>
      <c r="H128" s="40"/>
      <c r="I128" s="40"/>
      <c r="J128" s="40"/>
      <c r="K128" s="40"/>
      <c r="L128" s="40"/>
    </row>
    <row r="129" spans="3:12">
      <c r="C129" s="40"/>
      <c r="D129" s="40"/>
      <c r="E129" s="40"/>
      <c r="F129" s="40"/>
      <c r="G129" s="40"/>
      <c r="H129" s="40"/>
      <c r="I129" s="40"/>
      <c r="J129" s="40"/>
      <c r="K129" s="40"/>
      <c r="L129" s="40"/>
    </row>
  </sheetData>
  <sheetProtection algorithmName="SHA-512" hashValue="Lf6u9JrE7EjzgfJSEvKL1xDEPODr3Vp8l7K8mgpxyrTmDmWKoulcLW2QYchvlQ8mCkT6bMxPjLNTebDQc4tqzw==" saltValue="qQgXdZSznx9YFGyX3SuROA==" spinCount="100000" sheet="1" objects="1" scenarios="1" formatCells="0"/>
  <mergeCells count="1">
    <mergeCell ref="M57:R57"/>
  </mergeCells>
  <conditionalFormatting sqref="B49:L49">
    <cfRule type="cellIs" dxfId="1" priority="4" stopIfTrue="1" operator="lessThan">
      <formula>0</formula>
    </cfRule>
  </conditionalFormatting>
  <conditionalFormatting sqref="C20:L20">
    <cfRule type="cellIs" dxfId="0" priority="1" stopIfTrue="1" operator="lessThan">
      <formula>0</formula>
    </cfRule>
  </conditionalFormatting>
  <pageMargins left="0.43" right="0.24" top="0.75" bottom="0.36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Vallavanem</dc:creator>
  <cp:lastModifiedBy>Angela</cp:lastModifiedBy>
  <cp:lastPrinted>2023-07-07T09:28:18Z</cp:lastPrinted>
  <dcterms:created xsi:type="dcterms:W3CDTF">2015-06-05T18:17:20Z</dcterms:created>
  <dcterms:modified xsi:type="dcterms:W3CDTF">2023-07-18T13:02:53Z</dcterms:modified>
</cp:coreProperties>
</file>